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1840" windowHeight="13140"/>
  </bookViews>
  <sheets>
    <sheet name="Медиафасады" sheetId="1" r:id="rId1"/>
  </sheets>
  <definedNames>
    <definedName name="_xlnm._FilterDatabase" localSheetId="0" hidden="1">Медиафасады!$A$1:$U$45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7" i="1" l="1"/>
  <c r="M47" i="1" s="1"/>
  <c r="S47" i="1" l="1"/>
  <c r="O47" i="1"/>
  <c r="R47" i="1"/>
  <c r="N47" i="1"/>
  <c r="Q47" i="1"/>
  <c r="P47" i="1"/>
  <c r="K46" i="1"/>
  <c r="M46" i="1" s="1"/>
  <c r="R46" i="1" s="1"/>
  <c r="K45" i="1"/>
  <c r="M45" i="1" s="1"/>
  <c r="S45" i="1" s="1"/>
  <c r="K44" i="1"/>
  <c r="M44" i="1" s="1"/>
  <c r="R44" i="1" s="1"/>
  <c r="K43" i="1"/>
  <c r="M43" i="1" s="1"/>
  <c r="S43" i="1" s="1"/>
  <c r="K42" i="1"/>
  <c r="M42" i="1" s="1"/>
  <c r="P42" i="1" s="1"/>
  <c r="P46" i="1" l="1"/>
  <c r="S46" i="1"/>
  <c r="O46" i="1"/>
  <c r="Q46" i="1"/>
  <c r="N46" i="1"/>
  <c r="Q45" i="1"/>
  <c r="N45" i="1"/>
  <c r="R45" i="1"/>
  <c r="P45" i="1"/>
  <c r="O45" i="1"/>
  <c r="N42" i="1"/>
  <c r="R42" i="1"/>
  <c r="N43" i="1"/>
  <c r="O44" i="1"/>
  <c r="O42" i="1"/>
  <c r="S42" i="1"/>
  <c r="P43" i="1"/>
  <c r="P44" i="1"/>
  <c r="Q42" i="1"/>
  <c r="R43" i="1"/>
  <c r="S44" i="1"/>
  <c r="Q44" i="1"/>
  <c r="N44" i="1"/>
  <c r="Q43" i="1"/>
  <c r="O43" i="1"/>
  <c r="K41" i="1" l="1"/>
  <c r="M41" i="1" s="1"/>
  <c r="K40" i="1"/>
  <c r="M40" i="1" s="1"/>
  <c r="Q40" i="1" l="1"/>
  <c r="P40" i="1"/>
  <c r="S40" i="1"/>
  <c r="O40" i="1"/>
  <c r="R40" i="1"/>
  <c r="N40" i="1"/>
  <c r="S41" i="1"/>
  <c r="O41" i="1"/>
  <c r="R41" i="1"/>
  <c r="N41" i="1"/>
  <c r="Q41" i="1"/>
  <c r="P41" i="1"/>
  <c r="K3" i="1"/>
  <c r="K39" i="1" l="1"/>
  <c r="M39" i="1" s="1"/>
  <c r="S39" i="1" l="1"/>
  <c r="O39" i="1"/>
  <c r="R39" i="1"/>
  <c r="N39" i="1"/>
  <c r="Q39" i="1"/>
  <c r="P39" i="1"/>
  <c r="K33" i="1"/>
  <c r="M33" i="1" s="1"/>
  <c r="K34" i="1"/>
  <c r="M34" i="1" s="1"/>
  <c r="K17" i="1"/>
  <c r="M17" i="1" s="1"/>
  <c r="K38" i="1"/>
  <c r="M38" i="1" s="1"/>
  <c r="K37" i="1"/>
  <c r="M37" i="1" s="1"/>
  <c r="K36" i="1"/>
  <c r="M36" i="1" s="1"/>
  <c r="K35" i="1"/>
  <c r="M35" i="1" s="1"/>
  <c r="K32" i="1"/>
  <c r="M32" i="1" s="1"/>
  <c r="K31" i="1"/>
  <c r="M31" i="1" s="1"/>
  <c r="K30" i="1"/>
  <c r="M30" i="1" s="1"/>
  <c r="K29" i="1"/>
  <c r="M29" i="1" s="1"/>
  <c r="K28" i="1"/>
  <c r="M28" i="1" s="1"/>
  <c r="K27" i="1"/>
  <c r="M27" i="1" s="1"/>
  <c r="K26" i="1"/>
  <c r="M26" i="1" s="1"/>
  <c r="K25" i="1"/>
  <c r="M25" i="1" s="1"/>
  <c r="K24" i="1"/>
  <c r="M24" i="1" s="1"/>
  <c r="K23" i="1"/>
  <c r="M23" i="1" s="1"/>
  <c r="K22" i="1"/>
  <c r="M22" i="1" s="1"/>
  <c r="K21" i="1"/>
  <c r="M21" i="1" s="1"/>
  <c r="K20" i="1"/>
  <c r="M20" i="1" s="1"/>
  <c r="K19" i="1"/>
  <c r="M19" i="1" s="1"/>
  <c r="K18" i="1"/>
  <c r="M18" i="1" s="1"/>
  <c r="K16" i="1"/>
  <c r="M16" i="1" s="1"/>
  <c r="K15" i="1"/>
  <c r="M15" i="1" s="1"/>
  <c r="K14" i="1"/>
  <c r="M14" i="1" s="1"/>
  <c r="K13" i="1"/>
  <c r="M13" i="1" s="1"/>
  <c r="K12" i="1"/>
  <c r="M12" i="1" s="1"/>
  <c r="K11" i="1"/>
  <c r="M11" i="1" s="1"/>
  <c r="K10" i="1"/>
  <c r="M10" i="1" s="1"/>
  <c r="K9" i="1"/>
  <c r="M9" i="1" s="1"/>
  <c r="K8" i="1"/>
  <c r="M8" i="1" s="1"/>
  <c r="K7" i="1"/>
  <c r="M7" i="1" s="1"/>
  <c r="K5" i="1"/>
  <c r="M5" i="1" s="1"/>
  <c r="K6" i="1"/>
  <c r="M6" i="1" s="1"/>
  <c r="K4" i="1"/>
  <c r="M4" i="1" s="1"/>
  <c r="S38" i="1" l="1"/>
  <c r="O38" i="1"/>
  <c r="R38" i="1"/>
  <c r="N38" i="1"/>
  <c r="Q38" i="1"/>
  <c r="P38" i="1"/>
  <c r="Q13" i="1"/>
  <c r="S13" i="1"/>
  <c r="O13" i="1"/>
  <c r="N13" i="1"/>
  <c r="P13" i="1"/>
  <c r="R13" i="1"/>
  <c r="S36" i="1"/>
  <c r="O36" i="1"/>
  <c r="R36" i="1"/>
  <c r="N36" i="1"/>
  <c r="Q36" i="1"/>
  <c r="P36" i="1"/>
  <c r="Q5" i="1"/>
  <c r="S5" i="1"/>
  <c r="O5" i="1"/>
  <c r="N5" i="1"/>
  <c r="P5" i="1"/>
  <c r="R5" i="1"/>
  <c r="S14" i="1"/>
  <c r="O14" i="1"/>
  <c r="Q14" i="1"/>
  <c r="P14" i="1"/>
  <c r="N14" i="1"/>
  <c r="R14" i="1"/>
  <c r="Q27" i="1"/>
  <c r="P27" i="1"/>
  <c r="S27" i="1"/>
  <c r="O27" i="1"/>
  <c r="R27" i="1"/>
  <c r="N27" i="1"/>
  <c r="Q33" i="1"/>
  <c r="P33" i="1"/>
  <c r="S33" i="1"/>
  <c r="O33" i="1"/>
  <c r="N33" i="1"/>
  <c r="R33" i="1"/>
  <c r="R9" i="1"/>
  <c r="N9" i="1"/>
  <c r="P9" i="1"/>
  <c r="O9" i="1"/>
  <c r="S9" i="1"/>
  <c r="Q9" i="1"/>
  <c r="S22" i="1"/>
  <c r="O22" i="1"/>
  <c r="R22" i="1"/>
  <c r="Q22" i="1"/>
  <c r="P22" i="1"/>
  <c r="N22" i="1"/>
  <c r="S26" i="1"/>
  <c r="O26" i="1"/>
  <c r="R26" i="1"/>
  <c r="N26" i="1"/>
  <c r="Q26" i="1"/>
  <c r="P26" i="1"/>
  <c r="S30" i="1"/>
  <c r="O30" i="1"/>
  <c r="R30" i="1"/>
  <c r="N30" i="1"/>
  <c r="Q30" i="1"/>
  <c r="P30" i="1"/>
  <c r="S34" i="1"/>
  <c r="O34" i="1"/>
  <c r="R34" i="1"/>
  <c r="N34" i="1"/>
  <c r="Q34" i="1"/>
  <c r="P34" i="1"/>
  <c r="S10" i="1"/>
  <c r="O10" i="1"/>
  <c r="Q10" i="1"/>
  <c r="P10" i="1"/>
  <c r="R10" i="1"/>
  <c r="N10" i="1"/>
  <c r="Q19" i="1"/>
  <c r="S19" i="1"/>
  <c r="O19" i="1"/>
  <c r="R19" i="1"/>
  <c r="N19" i="1"/>
  <c r="P19" i="1"/>
  <c r="Q23" i="1"/>
  <c r="P23" i="1"/>
  <c r="S23" i="1"/>
  <c r="O23" i="1"/>
  <c r="R23" i="1"/>
  <c r="N23" i="1"/>
  <c r="Q31" i="1"/>
  <c r="P31" i="1"/>
  <c r="S31" i="1"/>
  <c r="O31" i="1"/>
  <c r="R31" i="1"/>
  <c r="N31" i="1"/>
  <c r="Q7" i="1"/>
  <c r="S7" i="1"/>
  <c r="O7" i="1"/>
  <c r="R7" i="1"/>
  <c r="N7" i="1"/>
  <c r="P7" i="1"/>
  <c r="Q11" i="1"/>
  <c r="S11" i="1"/>
  <c r="O11" i="1"/>
  <c r="R11" i="1"/>
  <c r="P11" i="1"/>
  <c r="N11" i="1"/>
  <c r="Q15" i="1"/>
  <c r="S15" i="1"/>
  <c r="O15" i="1"/>
  <c r="R15" i="1"/>
  <c r="N15" i="1"/>
  <c r="P15" i="1"/>
  <c r="S20" i="1"/>
  <c r="O20" i="1"/>
  <c r="Q20" i="1"/>
  <c r="R20" i="1"/>
  <c r="P20" i="1"/>
  <c r="N20" i="1"/>
  <c r="S24" i="1"/>
  <c r="O24" i="1"/>
  <c r="R24" i="1"/>
  <c r="N24" i="1"/>
  <c r="Q24" i="1"/>
  <c r="P24" i="1"/>
  <c r="S28" i="1"/>
  <c r="O28" i="1"/>
  <c r="R28" i="1"/>
  <c r="N28" i="1"/>
  <c r="Q28" i="1"/>
  <c r="P28" i="1"/>
  <c r="S32" i="1"/>
  <c r="O32" i="1"/>
  <c r="R32" i="1"/>
  <c r="N32" i="1"/>
  <c r="Q32" i="1"/>
  <c r="P32" i="1"/>
  <c r="S6" i="1"/>
  <c r="O6" i="1"/>
  <c r="Q6" i="1"/>
  <c r="P6" i="1"/>
  <c r="N6" i="1"/>
  <c r="R6" i="1"/>
  <c r="S18" i="1"/>
  <c r="O18" i="1"/>
  <c r="Q18" i="1"/>
  <c r="P18" i="1"/>
  <c r="R18" i="1"/>
  <c r="N18" i="1"/>
  <c r="S4" i="1"/>
  <c r="O4" i="1"/>
  <c r="Q4" i="1"/>
  <c r="R4" i="1"/>
  <c r="P4" i="1"/>
  <c r="N4" i="1"/>
  <c r="S8" i="1"/>
  <c r="O8" i="1"/>
  <c r="Q8" i="1"/>
  <c r="R8" i="1"/>
  <c r="N8" i="1"/>
  <c r="P8" i="1"/>
  <c r="S12" i="1"/>
  <c r="O12" i="1"/>
  <c r="Q12" i="1"/>
  <c r="P12" i="1"/>
  <c r="R12" i="1"/>
  <c r="N12" i="1"/>
  <c r="S16" i="1"/>
  <c r="O16" i="1"/>
  <c r="Q16" i="1"/>
  <c r="R16" i="1"/>
  <c r="P16" i="1"/>
  <c r="N16" i="1"/>
  <c r="Q21" i="1"/>
  <c r="S21" i="1"/>
  <c r="O21" i="1"/>
  <c r="N21" i="1"/>
  <c r="R21" i="1"/>
  <c r="P21" i="1"/>
  <c r="Q25" i="1"/>
  <c r="P25" i="1"/>
  <c r="S25" i="1"/>
  <c r="O25" i="1"/>
  <c r="N25" i="1"/>
  <c r="R25" i="1"/>
  <c r="Q29" i="1"/>
  <c r="P29" i="1"/>
  <c r="S29" i="1"/>
  <c r="O29" i="1"/>
  <c r="R29" i="1"/>
  <c r="N29" i="1"/>
  <c r="Q35" i="1"/>
  <c r="P35" i="1"/>
  <c r="S35" i="1"/>
  <c r="O35" i="1"/>
  <c r="R35" i="1"/>
  <c r="N35" i="1"/>
  <c r="Q17" i="1"/>
  <c r="S17" i="1"/>
  <c r="O17" i="1"/>
  <c r="N17" i="1"/>
  <c r="R17" i="1"/>
  <c r="P17" i="1"/>
  <c r="K2" i="1"/>
  <c r="M3" i="1" l="1"/>
  <c r="Q3" i="1" l="1"/>
  <c r="S3" i="1"/>
  <c r="O3" i="1"/>
  <c r="R3" i="1"/>
  <c r="P3" i="1"/>
  <c r="N3" i="1"/>
  <c r="M2" i="1"/>
  <c r="N2" i="1" l="1"/>
  <c r="S2" i="1"/>
  <c r="O2" i="1"/>
  <c r="Q2" i="1"/>
  <c r="P2" i="1"/>
  <c r="R2" i="1"/>
</calcChain>
</file>

<file path=xl/sharedStrings.xml><?xml version="1.0" encoding="utf-8"?>
<sst xmlns="http://schemas.openxmlformats.org/spreadsheetml/2006/main" count="526" uniqueCount="204">
  <si>
    <t>Город</t>
  </si>
  <si>
    <t>Адрес</t>
  </si>
  <si>
    <t>Сторона</t>
  </si>
  <si>
    <t>Код</t>
  </si>
  <si>
    <t>Способ показа</t>
  </si>
  <si>
    <t>Координаты</t>
  </si>
  <si>
    <t>Вид конструкции</t>
  </si>
  <si>
    <t>Выходов в сутки</t>
  </si>
  <si>
    <t>Период, дней</t>
  </si>
  <si>
    <t>Выходов за период</t>
  </si>
  <si>
    <t>Фото</t>
  </si>
  <si>
    <t>Екатеринбург</t>
  </si>
  <si>
    <t>Карта</t>
  </si>
  <si>
    <t>Медиафасад</t>
  </si>
  <si>
    <t>7х10</t>
  </si>
  <si>
    <t>ЕМ-1</t>
  </si>
  <si>
    <t>56.792513, 60.645121</t>
  </si>
  <si>
    <t>А</t>
  </si>
  <si>
    <t>ЕМ-2</t>
  </si>
  <si>
    <t>56.832476, 60.573601</t>
  </si>
  <si>
    <t>12 600 кв.м.</t>
  </si>
  <si>
    <t>Выходов в час</t>
  </si>
  <si>
    <t>Б</t>
  </si>
  <si>
    <t> ул. Толмачева, 22 (ТЦ Сила Воли)</t>
  </si>
  <si>
    <t>ул. Репина, 5 (Екатеринбург Арена)</t>
  </si>
  <si>
    <t>Щербакова, 2Б, (Океанариум)</t>
  </si>
  <si>
    <t>3х4</t>
  </si>
  <si>
    <t>ЕМ-3</t>
  </si>
  <si>
    <t>56.840552, 60.609458</t>
  </si>
  <si>
    <t>Малышева 56</t>
  </si>
  <si>
    <t>Базовый пер., 48</t>
  </si>
  <si>
    <t>Малышева ул., 36 - Вайнера</t>
  </si>
  <si>
    <t>10х15</t>
  </si>
  <si>
    <t>24,96х4,8</t>
  </si>
  <si>
    <t>16,32х7,68</t>
  </si>
  <si>
    <t>20х10</t>
  </si>
  <si>
    <t>ЕМ-4</t>
  </si>
  <si>
    <t>ЕМ-5</t>
  </si>
  <si>
    <t>ЕМ-6</t>
  </si>
  <si>
    <t>ЕМ-7</t>
  </si>
  <si>
    <t>ЕМ-8</t>
  </si>
  <si>
    <t>ЕМ-9</t>
  </si>
  <si>
    <t>ЕМ-10</t>
  </si>
  <si>
    <t>ЕМ-11</t>
  </si>
  <si>
    <t>ЕМ-12</t>
  </si>
  <si>
    <t>ЕМ-13</t>
  </si>
  <si>
    <t>ЕМ-14</t>
  </si>
  <si>
    <t>ЕМ-15</t>
  </si>
  <si>
    <t>ЕМ-16</t>
  </si>
  <si>
    <t>ЕМ-17</t>
  </si>
  <si>
    <t>ЕМ-18</t>
  </si>
  <si>
    <t>ЕМ-19</t>
  </si>
  <si>
    <t>ЕМ-20</t>
  </si>
  <si>
    <t>ЕМ-21</t>
  </si>
  <si>
    <t>ЕМ-22</t>
  </si>
  <si>
    <t>ЕМ-23</t>
  </si>
  <si>
    <t>ЕМ-24</t>
  </si>
  <si>
    <t>ЕМ-25</t>
  </si>
  <si>
    <t>ЕМ-26</t>
  </si>
  <si>
    <t>ЕМ-27</t>
  </si>
  <si>
    <t>ЕМ-28</t>
  </si>
  <si>
    <t>ЕМ-29</t>
  </si>
  <si>
    <t>ЕМ-30</t>
  </si>
  <si>
    <t>ЕМ-31</t>
  </si>
  <si>
    <t>ЕМ-32</t>
  </si>
  <si>
    <t>ЕМ-33</t>
  </si>
  <si>
    <t>ЕМ-34</t>
  </si>
  <si>
    <t>ЕМ-35</t>
  </si>
  <si>
    <t>ЕМ-36</t>
  </si>
  <si>
    <t>ЕМ-37</t>
  </si>
  <si>
    <t>56.832969, 60.582374</t>
  </si>
  <si>
    <t>56.840143, 60.610671</t>
  </si>
  <si>
    <t>56.857052, 60.603610</t>
  </si>
  <si>
    <t>56.836938, 60.593612</t>
  </si>
  <si>
    <t>56.828921, 60.616393</t>
  </si>
  <si>
    <t>56.836382, 60.615665</t>
  </si>
  <si>
    <t>56.829965, 60.600789</t>
  </si>
  <si>
    <t>Малышева ул, д. 5 (ТРЦ Алатырь)</t>
  </si>
  <si>
    <t>56.836923, 60.582733</t>
  </si>
  <si>
    <t>56.921764, 60.613905</t>
  </si>
  <si>
    <t>56.830330, 60.600349</t>
  </si>
  <si>
    <t>56.835618, 60.611425</t>
  </si>
  <si>
    <t>56.829335, 60.663258</t>
  </si>
  <si>
    <t>56.888702, 60.612620</t>
  </si>
  <si>
    <t>56.836702, 60.622358</t>
  </si>
  <si>
    <t>56.814153, 60.607895</t>
  </si>
  <si>
    <t>56.836997, 60.623130</t>
  </si>
  <si>
    <t>56.834560, 60.606503</t>
  </si>
  <si>
    <t>56.824951, 60.585177</t>
  </si>
  <si>
    <t>56.830950, 60.635383</t>
  </si>
  <si>
    <t>56.788968, 60.482301</t>
  </si>
  <si>
    <t>56.845283, 60.561326</t>
  </si>
  <si>
    <t>56.831073, 60.601795</t>
  </si>
  <si>
    <t>56.816341, 60.585922</t>
  </si>
  <si>
    <t>56.797304, 60.581799</t>
  </si>
  <si>
    <t>56.806166, 60.648112</t>
  </si>
  <si>
    <t>56.809384, 60.622178</t>
  </si>
  <si>
    <t>56.899945, 60.613878</t>
  </si>
  <si>
    <t>56.833536, 60.596693</t>
  </si>
  <si>
    <t>56.899714, 60.613177</t>
  </si>
  <si>
    <t>56.834161, 60.603727</t>
  </si>
  <si>
    <t>Карла Либкнехта, 23 (УрГАХА)</t>
  </si>
  <si>
    <t>ул. Челюскинцев, 23 (Ж/д вокзал)</t>
  </si>
  <si>
    <t>Ленина ул. 24/8 (Площадь)</t>
  </si>
  <si>
    <t>Куйбышева, 75 (СКБ Банк)</t>
  </si>
  <si>
    <t>Малышева, 53 (БЦ Высоцкий)</t>
  </si>
  <si>
    <t>проспект Ленина 5Л (БЦ Самолет)</t>
  </si>
  <si>
    <t>Щербакова, 2Б (Океанариум)</t>
  </si>
  <si>
    <t>Татищева, 22/2  NEW (ЖК Нагорный)</t>
  </si>
  <si>
    <t>Космонавтов 108К (ЖК Изумрудный Бор)</t>
  </si>
  <si>
    <t>Радищева, 1 (ТРЦ Гринвич)</t>
  </si>
  <si>
    <t>8 марта, 32а (ТРЦ Гринвич)</t>
  </si>
  <si>
    <t xml:space="preserve">ул. Карла Либкнехта, 23в (ТЦ Сила Воли (2 стороны) </t>
  </si>
  <si>
    <t>Малышева ул. 43 (Аметист)</t>
  </si>
  <si>
    <t>Комсомольская, 80 (Концерн Калина)</t>
  </si>
  <si>
    <t>Космонавтов 23А (ТЦ Стрелка)</t>
  </si>
  <si>
    <t>Луначарского ул., 139 (Corteo Fashion Mall)</t>
  </si>
  <si>
    <t>8 Марта, ул. 32а (ТРЦ Гринвич)</t>
  </si>
  <si>
    <t xml:space="preserve"> Малышева, 71, ( прошлое название  Луначарского 139) (Corteo Fashion Mall)</t>
  </si>
  <si>
    <t>Московская 54 (БЦ Рифей)</t>
  </si>
  <si>
    <t>ул. Восточная, 98 (Шарташский рынок)</t>
  </si>
  <si>
    <t>Евгения Савкова, 41 (ТЦ ЮЛА (2 стороны)</t>
  </si>
  <si>
    <t>ул. Бебеля 11/3 (ТЦ Римекс)</t>
  </si>
  <si>
    <t>8 марта, 37 (8 Марта - Радищева)</t>
  </si>
  <si>
    <t>Ясная ул. Д. 2 (ТРЦ Фан-Фан)</t>
  </si>
  <si>
    <t>Амундсена ул., 63 (ТРЦ Гранат)</t>
  </si>
  <si>
    <t>ул. Щорса,29 (ТЦ МАРС)</t>
  </si>
  <si>
    <t>ул. Ильича, 74 (ТЦ Омега)</t>
  </si>
  <si>
    <t>ул. Космонавтов, 41 (рядом с метро) (ТЦ Омега)</t>
  </si>
  <si>
    <t>10×15</t>
  </si>
  <si>
    <t>ЕМ-38</t>
  </si>
  <si>
    <t>Машинная ул. / Щорса ул., 30</t>
  </si>
  <si>
    <t>56.810903, 60.628706</t>
  </si>
  <si>
    <t>Размеры, м.</t>
  </si>
  <si>
    <t>Статичная картинка, видеоролик</t>
  </si>
  <si>
    <t>График работы</t>
  </si>
  <si>
    <t>ПН-ВС: 00:00 - 24:00</t>
  </si>
  <si>
    <t>ПН-ВС: с 18:00 до 21:00 или с 21:00 до 24:00</t>
  </si>
  <si>
    <t>ПН-ВС: 07:00 - 23:00</t>
  </si>
  <si>
    <t>ПН-ВС: 08:00 - 22:00</t>
  </si>
  <si>
    <t>ПН-ВС: 07:00 - 01:00</t>
  </si>
  <si>
    <t>ул. Татищева, 49а</t>
  </si>
  <si>
    <t>ул. Машинная, 42а</t>
  </si>
  <si>
    <t>3,8х12,48</t>
  </si>
  <si>
    <t>22х6</t>
  </si>
  <si>
    <t>16,38х8,2</t>
  </si>
  <si>
    <t>8х4,6</t>
  </si>
  <si>
    <t>22,4х30</t>
  </si>
  <si>
    <t>7х4</t>
  </si>
  <si>
    <t>9,6х4,9</t>
  </si>
  <si>
    <t>7,2х5,6</t>
  </si>
  <si>
    <t>6,15х8,2</t>
  </si>
  <si>
    <t>7,7х3,84</t>
  </si>
  <si>
    <t>7,68х5,76</t>
  </si>
  <si>
    <t>6,4х4,8</t>
  </si>
  <si>
    <t>13,44х4</t>
  </si>
  <si>
    <t>7,68х3,84</t>
  </si>
  <si>
    <t>7,68х4,48</t>
  </si>
  <si>
    <t>3,84х7,04</t>
  </si>
  <si>
    <t>4,8х7,04</t>
  </si>
  <si>
    <t>11,52х4,8</t>
  </si>
  <si>
    <t>8,64х6,72</t>
  </si>
  <si>
    <t>8,16х4,67</t>
  </si>
  <si>
    <t>6,72х4,48</t>
  </si>
  <si>
    <t>7,2х4,6</t>
  </si>
  <si>
    <t>14,4х4,8 м</t>
  </si>
  <si>
    <t>14,4х21,12</t>
  </si>
  <si>
    <t>10х20</t>
  </si>
  <si>
    <t>16,64х7,68</t>
  </si>
  <si>
    <t>16х24</t>
  </si>
  <si>
    <t>ЕМ-39</t>
  </si>
  <si>
    <t>ЕМ-40</t>
  </si>
  <si>
    <t>56.835020, 60.563215</t>
  </si>
  <si>
    <t>56.805019, 60.630747</t>
  </si>
  <si>
    <t>Ролик 5 сек.</t>
  </si>
  <si>
    <t>Ролик 10 сек.</t>
  </si>
  <si>
    <t>Ролик 15 сек.</t>
  </si>
  <si>
    <t>Ролик 20 сек.</t>
  </si>
  <si>
    <t>Ролик 25 сек.</t>
  </si>
  <si>
    <t>Ролик 30 сек.</t>
  </si>
  <si>
    <t>Малышева ул., д. 50</t>
  </si>
  <si>
    <t>Бебеля ул., д. 29А</t>
  </si>
  <si>
    <t>8,64х3,86</t>
  </si>
  <si>
    <t>ЕМ-41</t>
  </si>
  <si>
    <t>56.848400, 60.558286</t>
  </si>
  <si>
    <t>Малышева ул., д. 122</t>
  </si>
  <si>
    <t>5,5х12</t>
  </si>
  <si>
    <t>ЕМ-42</t>
  </si>
  <si>
    <t>56.838100, 60.636800</t>
  </si>
  <si>
    <t>Восточная ул., д. 51</t>
  </si>
  <si>
    <t>21,5х21</t>
  </si>
  <si>
    <t>56.818410, 60.641660</t>
  </si>
  <si>
    <t>ЕМ-43</t>
  </si>
  <si>
    <t>Карла Либкнехта ул., д. 4 (перекресток Белинского и Малышева)</t>
  </si>
  <si>
    <t>56.836400, 60.613500</t>
  </si>
  <si>
    <t>ЕМ-44</t>
  </si>
  <si>
    <t>Бебеля ул., д. 11</t>
  </si>
  <si>
    <t>35х4,8</t>
  </si>
  <si>
    <t>56.844400, 60.561600</t>
  </si>
  <si>
    <t>ЕМ-45</t>
  </si>
  <si>
    <t>8 марта,145-Щорса (Южный автовокзал)</t>
  </si>
  <si>
    <t>3х3</t>
  </si>
  <si>
    <t>56.808418, 60.610570</t>
  </si>
  <si>
    <t>ЕМ-46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</si>
</sst>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1" fillId="8" borderId="9" applyNumberFormat="0" applyFont="0" applyAlignment="0" applyProtection="0"/>
  </cellStyleXfs>
  <cellXfs count="13">
    <xf numFmtId="0" fontId="0" fillId="0" borderId="0" xfId="0"/>
    <xf numFmtId="164" fontId="2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2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 wrapText="1"/>
    </xf>
  </cellXfs>
  <cellStyles count="45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1" builtinId="8"/>
    <cellStyle name="Гиперссылка 2" xfId="43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42"/>
    <cellStyle name="Плохой" xfId="8" builtinId="27" customBuiltin="1"/>
    <cellStyle name="Пояснение" xfId="16" builtinId="53" customBuiltin="1"/>
    <cellStyle name="Примечание 2" xfId="44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yandex.ru/maps/-/CCU1qEsS-C" TargetMode="External"/><Relationship Id="rId18" Type="http://schemas.openxmlformats.org/officeDocument/2006/relationships/hyperlink" Target="https://yandex.ru/maps/-/CCU1qAFmOB" TargetMode="External"/><Relationship Id="rId26" Type="http://schemas.openxmlformats.org/officeDocument/2006/relationships/hyperlink" Target="https://yandex.ru/maps/-/CCU1qIGc2C" TargetMode="External"/><Relationship Id="rId39" Type="http://schemas.openxmlformats.org/officeDocument/2006/relationships/hyperlink" Target="https://yandex.ru/maps/-/CCU1qMFh3C" TargetMode="External"/><Relationship Id="rId21" Type="http://schemas.openxmlformats.org/officeDocument/2006/relationships/hyperlink" Target="https://yandex.ru/maps/-/CCU1qIFcPD" TargetMode="External"/><Relationship Id="rId34" Type="http://schemas.openxmlformats.org/officeDocument/2006/relationships/hyperlink" Target="https://yandex.ru/maps/-/CCU1qIdpgC" TargetMode="External"/><Relationship Id="rId42" Type="http://schemas.openxmlformats.org/officeDocument/2006/relationships/hyperlink" Target="https://disk.yandex.ru/i/yjtOlRtGc1lADw" TargetMode="External"/><Relationship Id="rId47" Type="http://schemas.openxmlformats.org/officeDocument/2006/relationships/hyperlink" Target="https://disk.yandex.ru/i/CvKZw1mTEBKMxQ" TargetMode="External"/><Relationship Id="rId50" Type="http://schemas.openxmlformats.org/officeDocument/2006/relationships/hyperlink" Target="https://disk.yandex.ru/i/Um_E4RFlDDMz8A" TargetMode="External"/><Relationship Id="rId55" Type="http://schemas.openxmlformats.org/officeDocument/2006/relationships/hyperlink" Target="https://disk.yandex.ru/i/yvvN4Cg7haxLEw" TargetMode="External"/><Relationship Id="rId63" Type="http://schemas.openxmlformats.org/officeDocument/2006/relationships/hyperlink" Target="https://disk.yandex.ru/i/La7eFRWfy8bjJA" TargetMode="External"/><Relationship Id="rId68" Type="http://schemas.openxmlformats.org/officeDocument/2006/relationships/hyperlink" Target="https://disk.yandex.ru/i/5YnEcy91Y2TqRg" TargetMode="External"/><Relationship Id="rId76" Type="http://schemas.openxmlformats.org/officeDocument/2006/relationships/hyperlink" Target="https://yandex.ru/maps/-/CLttmMPq" TargetMode="External"/><Relationship Id="rId84" Type="http://schemas.openxmlformats.org/officeDocument/2006/relationships/hyperlink" Target="https://yandex.ru/maps/-/CPtLrRiQ" TargetMode="External"/><Relationship Id="rId89" Type="http://schemas.openxmlformats.org/officeDocument/2006/relationships/hyperlink" Target="https://disk.yandex.ru/i/cFUxXHgL4D6ggA" TargetMode="External"/><Relationship Id="rId7" Type="http://schemas.openxmlformats.org/officeDocument/2006/relationships/hyperlink" Target="https://yandex.ru/maps/-/CCU1qAFmOB" TargetMode="External"/><Relationship Id="rId71" Type="http://schemas.openxmlformats.org/officeDocument/2006/relationships/hyperlink" Target="https://disk.yandex.ru/i/VN6i8Wi-aFZAIA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https://yandex.ru/maps/-/CCUjQMDWGC" TargetMode="External"/><Relationship Id="rId16" Type="http://schemas.openxmlformats.org/officeDocument/2006/relationships/hyperlink" Target="https://yandex.ru/maps/-/CCU1qIEtxC" TargetMode="External"/><Relationship Id="rId29" Type="http://schemas.openxmlformats.org/officeDocument/2006/relationships/hyperlink" Target="https://yandex.ru/maps/-/CCU1qAuDcD" TargetMode="External"/><Relationship Id="rId11" Type="http://schemas.openxmlformats.org/officeDocument/2006/relationships/hyperlink" Target="https://yandex.ru/maps/-/CCU1qAv-~A" TargetMode="External"/><Relationship Id="rId24" Type="http://schemas.openxmlformats.org/officeDocument/2006/relationships/hyperlink" Target="https://yandex.ru/maps/-/CCU1qIrDkB" TargetMode="External"/><Relationship Id="rId32" Type="http://schemas.openxmlformats.org/officeDocument/2006/relationships/hyperlink" Target="https://yandex.ru/maps/-/CCU1qITWSC" TargetMode="External"/><Relationship Id="rId37" Type="http://schemas.openxmlformats.org/officeDocument/2006/relationships/hyperlink" Target="https://yandex.ru/maps/-/CCU1qMqLcA" TargetMode="External"/><Relationship Id="rId40" Type="http://schemas.openxmlformats.org/officeDocument/2006/relationships/hyperlink" Target="https://disk.yandex.ru/i/6Y38JBNqJ6rzBw" TargetMode="External"/><Relationship Id="rId45" Type="http://schemas.openxmlformats.org/officeDocument/2006/relationships/hyperlink" Target="https://disk.yandex.ru/i/VZRfSlL2PnJEIQ" TargetMode="External"/><Relationship Id="rId53" Type="http://schemas.openxmlformats.org/officeDocument/2006/relationships/hyperlink" Target="https://disk.yandex.ru/i/qW4Hx80vwLT1gA" TargetMode="External"/><Relationship Id="rId58" Type="http://schemas.openxmlformats.org/officeDocument/2006/relationships/hyperlink" Target="https://disk.yandex.ru/i/B1eI5WpBIyIUSw" TargetMode="External"/><Relationship Id="rId66" Type="http://schemas.openxmlformats.org/officeDocument/2006/relationships/hyperlink" Target="https://disk.yandex.ru/i/fV6EkgpkVsW2KA" TargetMode="External"/><Relationship Id="rId74" Type="http://schemas.openxmlformats.org/officeDocument/2006/relationships/hyperlink" Target="https://disk.yandex.com.am/i/8hlSAI7M_S2zuA" TargetMode="External"/><Relationship Id="rId79" Type="http://schemas.openxmlformats.org/officeDocument/2006/relationships/hyperlink" Target="https://disk.yandex.ru/i/c0ZjuLd0dwKXYw" TargetMode="External"/><Relationship Id="rId87" Type="http://schemas.openxmlformats.org/officeDocument/2006/relationships/hyperlink" Target="https://disk.yandex.ru/i/ZqtycN_jqOXO0g" TargetMode="External"/><Relationship Id="rId5" Type="http://schemas.openxmlformats.org/officeDocument/2006/relationships/hyperlink" Target="https://yandex.ru/maps/-/CCU1m8hEPC" TargetMode="External"/><Relationship Id="rId61" Type="http://schemas.openxmlformats.org/officeDocument/2006/relationships/hyperlink" Target="https://disk.yandex.ru/i/PAxnXbBMxFfFVA" TargetMode="External"/><Relationship Id="rId82" Type="http://schemas.openxmlformats.org/officeDocument/2006/relationships/hyperlink" Target="https://disk.yandex.ru/i/_tsmjDCKL_Hdgg" TargetMode="External"/><Relationship Id="rId90" Type="http://schemas.openxmlformats.org/officeDocument/2006/relationships/hyperlink" Target="https://disk.yandex.ru/i/r8M-gMGLS5MCqw" TargetMode="External"/><Relationship Id="rId19" Type="http://schemas.openxmlformats.org/officeDocument/2006/relationships/hyperlink" Target="https://yandex.ru/maps/-/CCU1qIqnGB" TargetMode="External"/><Relationship Id="rId14" Type="http://schemas.openxmlformats.org/officeDocument/2006/relationships/hyperlink" Target="https://yandex.ru/maps/-/CCU1qEwX3C" TargetMode="External"/><Relationship Id="rId22" Type="http://schemas.openxmlformats.org/officeDocument/2006/relationships/hyperlink" Target="https://yandex.ru/maps/-/CCU1qIVyDD" TargetMode="External"/><Relationship Id="rId27" Type="http://schemas.openxmlformats.org/officeDocument/2006/relationships/hyperlink" Target="https://yandex.ru/maps/-/CCU1qIWJkB" TargetMode="External"/><Relationship Id="rId30" Type="http://schemas.openxmlformats.org/officeDocument/2006/relationships/hyperlink" Target="https://yandex.ru/maps/-/CCU1qIw~SD" TargetMode="External"/><Relationship Id="rId35" Type="http://schemas.openxmlformats.org/officeDocument/2006/relationships/hyperlink" Target="https://yandex.ru/maps/-/CCU1qItfoB" TargetMode="External"/><Relationship Id="rId43" Type="http://schemas.openxmlformats.org/officeDocument/2006/relationships/hyperlink" Target="https://disk.yandex.ru/i/71xYxyvs1KQX5w" TargetMode="External"/><Relationship Id="rId48" Type="http://schemas.openxmlformats.org/officeDocument/2006/relationships/hyperlink" Target="https://disk.yandex.ru/i/YjDJCuXWK84IPw" TargetMode="External"/><Relationship Id="rId56" Type="http://schemas.openxmlformats.org/officeDocument/2006/relationships/hyperlink" Target="https://disk.yandex.ru/i/xgC1WhVkyw3XJQ" TargetMode="External"/><Relationship Id="rId64" Type="http://schemas.openxmlformats.org/officeDocument/2006/relationships/hyperlink" Target="https://disk.yandex.ru/i/29WxHWhWuHCmUA" TargetMode="External"/><Relationship Id="rId69" Type="http://schemas.openxmlformats.org/officeDocument/2006/relationships/hyperlink" Target="https://disk.yandex.ru/i/SgaHJCDPrUK1hA" TargetMode="External"/><Relationship Id="rId77" Type="http://schemas.openxmlformats.org/officeDocument/2006/relationships/hyperlink" Target="https://yandex.ru/maps/-/CLttmUkx" TargetMode="External"/><Relationship Id="rId8" Type="http://schemas.openxmlformats.org/officeDocument/2006/relationships/hyperlink" Target="https://yandex.ru/maps/-/CCU1qARSdB" TargetMode="External"/><Relationship Id="rId51" Type="http://schemas.openxmlformats.org/officeDocument/2006/relationships/hyperlink" Target="https://disk.yandex.ru/i/3V7l4Z--6UuIgQ" TargetMode="External"/><Relationship Id="rId72" Type="http://schemas.openxmlformats.org/officeDocument/2006/relationships/hyperlink" Target="https://disk.yandex.ru/i/4-O0xlmZpSG1ug" TargetMode="External"/><Relationship Id="rId80" Type="http://schemas.openxmlformats.org/officeDocument/2006/relationships/hyperlink" Target="https://yandex.ru/maps/-/CPtLVX2c" TargetMode="External"/><Relationship Id="rId85" Type="http://schemas.openxmlformats.org/officeDocument/2006/relationships/hyperlink" Target="https://disk.yandex.ru/i/Q2JpOgrhKgWL-w" TargetMode="External"/><Relationship Id="rId3" Type="http://schemas.openxmlformats.org/officeDocument/2006/relationships/hyperlink" Target="https://yandex.ru/profile/-/CCUjrOgDgC" TargetMode="External"/><Relationship Id="rId12" Type="http://schemas.openxmlformats.org/officeDocument/2006/relationships/hyperlink" Target="https://yandex.ru/maps/-/CCU1qAG0CB" TargetMode="External"/><Relationship Id="rId17" Type="http://schemas.openxmlformats.org/officeDocument/2006/relationships/hyperlink" Target="https://yandex.ru/maps/-/CCU1qIUqLA" TargetMode="External"/><Relationship Id="rId25" Type="http://schemas.openxmlformats.org/officeDocument/2006/relationships/hyperlink" Target="https://yandex.ru/maps/-/CCU1qICqTD" TargetMode="External"/><Relationship Id="rId33" Type="http://schemas.openxmlformats.org/officeDocument/2006/relationships/hyperlink" Target="https://yandex.ru/maps/-/CCU1qIX-1A" TargetMode="External"/><Relationship Id="rId38" Type="http://schemas.openxmlformats.org/officeDocument/2006/relationships/hyperlink" Target="https://yandex.ru/maps/-/CCU1qMEmpD" TargetMode="External"/><Relationship Id="rId46" Type="http://schemas.openxmlformats.org/officeDocument/2006/relationships/hyperlink" Target="https://disk.yandex.ru/i/bmmUPj5tOFZpuw" TargetMode="External"/><Relationship Id="rId59" Type="http://schemas.openxmlformats.org/officeDocument/2006/relationships/hyperlink" Target="https://disk.yandex.ru/i/4vJJoNrMHqd_9g" TargetMode="External"/><Relationship Id="rId67" Type="http://schemas.openxmlformats.org/officeDocument/2006/relationships/hyperlink" Target="https://disk.yandex.ru/i/shD_D8XAQ6fckw" TargetMode="External"/><Relationship Id="rId20" Type="http://schemas.openxmlformats.org/officeDocument/2006/relationships/hyperlink" Target="https://yandex.ru/maps/-/CCU1qIu-KA" TargetMode="External"/><Relationship Id="rId41" Type="http://schemas.openxmlformats.org/officeDocument/2006/relationships/hyperlink" Target="https://disk.yandex.ru/i/9429EqOxu9ZrKQ" TargetMode="External"/><Relationship Id="rId54" Type="http://schemas.openxmlformats.org/officeDocument/2006/relationships/hyperlink" Target="https://disk.yandex.ru/i/TRs6YeW1CbNBnw" TargetMode="External"/><Relationship Id="rId62" Type="http://schemas.openxmlformats.org/officeDocument/2006/relationships/hyperlink" Target="https://disk.yandex.ru/i/J_tg00YMmOGZWA" TargetMode="External"/><Relationship Id="rId70" Type="http://schemas.openxmlformats.org/officeDocument/2006/relationships/hyperlink" Target="https://disk.yandex.ru/i/5fYEgtFJ67CP_g" TargetMode="External"/><Relationship Id="rId75" Type="http://schemas.openxmlformats.org/officeDocument/2006/relationships/hyperlink" Target="https://yandex.ru/maps/-/CHhZ5DJJ" TargetMode="External"/><Relationship Id="rId83" Type="http://schemas.openxmlformats.org/officeDocument/2006/relationships/hyperlink" Target="https://disk.yandex.ru/i/56FkAITEj5-ZqQ" TargetMode="External"/><Relationship Id="rId88" Type="http://schemas.openxmlformats.org/officeDocument/2006/relationships/hyperlink" Target="https://yandex.ru/maps/-/CPtPENK0" TargetMode="External"/><Relationship Id="rId91" Type="http://schemas.openxmlformats.org/officeDocument/2006/relationships/hyperlink" Target="https://yandex.ru/maps/-/CTatU4-T" TargetMode="External"/><Relationship Id="rId1" Type="http://schemas.openxmlformats.org/officeDocument/2006/relationships/hyperlink" Target="https://disk.yandex.ru/d/nbcTKbNzAOGTsw" TargetMode="External"/><Relationship Id="rId6" Type="http://schemas.openxmlformats.org/officeDocument/2006/relationships/hyperlink" Target="https://yandex.ru/maps/-/CCU1qAuDcD" TargetMode="External"/><Relationship Id="rId15" Type="http://schemas.openxmlformats.org/officeDocument/2006/relationships/hyperlink" Target="https://yandex.ru/maps/-/CCU1qEwX3C" TargetMode="External"/><Relationship Id="rId23" Type="http://schemas.openxmlformats.org/officeDocument/2006/relationships/hyperlink" Target="https://yandex.ru/maps/-/CCU1qIfYXC" TargetMode="External"/><Relationship Id="rId28" Type="http://schemas.openxmlformats.org/officeDocument/2006/relationships/hyperlink" Target="https://yandex.ru/maps/-/CCU1qIcK8A" TargetMode="External"/><Relationship Id="rId36" Type="http://schemas.openxmlformats.org/officeDocument/2006/relationships/hyperlink" Target="https://yandex.ru/maps/-/CCU1qIxlPA" TargetMode="External"/><Relationship Id="rId49" Type="http://schemas.openxmlformats.org/officeDocument/2006/relationships/hyperlink" Target="https://disk.yandex.ru/i/qJUPz-SBLKbvGQ" TargetMode="External"/><Relationship Id="rId57" Type="http://schemas.openxmlformats.org/officeDocument/2006/relationships/hyperlink" Target="https://disk.yandex.ru/i/5a6Azo9mOaa9Uw" TargetMode="External"/><Relationship Id="rId10" Type="http://schemas.openxmlformats.org/officeDocument/2006/relationships/hyperlink" Target="https://yandex.ru/maps/-/CCU1qAfDDD" TargetMode="External"/><Relationship Id="rId31" Type="http://schemas.openxmlformats.org/officeDocument/2006/relationships/hyperlink" Target="https://yandex.ru/maps/-/CCU1qIH51D" TargetMode="External"/><Relationship Id="rId44" Type="http://schemas.openxmlformats.org/officeDocument/2006/relationships/hyperlink" Target="https://disk.yandex.ru/i/T_khnRgNW8DrJg" TargetMode="External"/><Relationship Id="rId52" Type="http://schemas.openxmlformats.org/officeDocument/2006/relationships/hyperlink" Target="https://disk.yandex.ru/i/NBHo61fYFgRWdw" TargetMode="External"/><Relationship Id="rId60" Type="http://schemas.openxmlformats.org/officeDocument/2006/relationships/hyperlink" Target="https://disk.yandex.ru/i/gnOXvLY_h-vDUQ" TargetMode="External"/><Relationship Id="rId65" Type="http://schemas.openxmlformats.org/officeDocument/2006/relationships/hyperlink" Target="https://disk.yandex.ru/i/5G65YNLcUi6cHQ" TargetMode="External"/><Relationship Id="rId73" Type="http://schemas.openxmlformats.org/officeDocument/2006/relationships/hyperlink" Target="https://disk.yandex.ru/i/tSYYLjHvtIpMUw" TargetMode="External"/><Relationship Id="rId78" Type="http://schemas.openxmlformats.org/officeDocument/2006/relationships/hyperlink" Target="https://disk.yandex.ru/i/bbwgfj9IvLrSig" TargetMode="External"/><Relationship Id="rId81" Type="http://schemas.openxmlformats.org/officeDocument/2006/relationships/hyperlink" Target="https://yandex.ru/maps/-/CPtL6LKA" TargetMode="External"/><Relationship Id="rId86" Type="http://schemas.openxmlformats.org/officeDocument/2006/relationships/hyperlink" Target="https://yandex.ru/maps/-/CPtLzNpf" TargetMode="External"/><Relationship Id="rId4" Type="http://schemas.openxmlformats.org/officeDocument/2006/relationships/hyperlink" Target="https://disk.yandex.ru/i/NsqQ0k1TnBWagQ" TargetMode="External"/><Relationship Id="rId9" Type="http://schemas.openxmlformats.org/officeDocument/2006/relationships/hyperlink" Target="https://yandex.ru/maps/-/CCUNZIAHT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tabSelected="1" workbookViewId="0">
      <selection activeCell="C3" sqref="C3"/>
    </sheetView>
  </sheetViews>
  <sheetFormatPr defaultRowHeight="12.75" x14ac:dyDescent="0.25"/>
  <cols>
    <col min="1" max="1" width="11.85546875" style="6" customWidth="1"/>
    <col min="2" max="2" width="19.28515625" style="6" customWidth="1"/>
    <col min="3" max="3" width="29.28515625" style="5" customWidth="1"/>
    <col min="4" max="4" width="9.5703125" style="5" customWidth="1"/>
    <col min="5" max="5" width="10" style="5" customWidth="1"/>
    <col min="6" max="6" width="15.42578125" style="6" customWidth="1"/>
    <col min="7" max="7" width="12.140625" style="6" customWidth="1"/>
    <col min="8" max="8" width="17.7109375" style="6" customWidth="1"/>
    <col min="9" max="9" width="16.85546875" style="6" customWidth="1"/>
    <col min="10" max="10" width="17.85546875" style="6" customWidth="1"/>
    <col min="11" max="11" width="18.7109375" style="6" customWidth="1"/>
    <col min="12" max="12" width="16.85546875" style="6" customWidth="1"/>
    <col min="13" max="13" width="21.5703125" style="6" customWidth="1"/>
    <col min="14" max="14" width="15.28515625" style="7" customWidth="1"/>
    <col min="15" max="19" width="16.28515625" style="7" customWidth="1"/>
    <col min="20" max="20" width="8.7109375" style="6" customWidth="1"/>
    <col min="21" max="21" width="19" style="7" customWidth="1"/>
    <col min="22" max="16384" width="9.140625" style="6"/>
  </cols>
  <sheetData>
    <row r="1" spans="1:21" s="8" customFormat="1" x14ac:dyDescent="0.25">
      <c r="A1" s="2" t="s">
        <v>0</v>
      </c>
      <c r="B1" s="2" t="s">
        <v>6</v>
      </c>
      <c r="C1" s="2" t="s">
        <v>1</v>
      </c>
      <c r="D1" s="2" t="s">
        <v>10</v>
      </c>
      <c r="E1" s="2" t="s">
        <v>12</v>
      </c>
      <c r="F1" s="2" t="s">
        <v>133</v>
      </c>
      <c r="G1" s="2" t="s">
        <v>2</v>
      </c>
      <c r="H1" s="2" t="s">
        <v>4</v>
      </c>
      <c r="I1" s="2" t="s">
        <v>21</v>
      </c>
      <c r="J1" s="2" t="s">
        <v>135</v>
      </c>
      <c r="K1" s="2" t="s">
        <v>7</v>
      </c>
      <c r="L1" s="2" t="s">
        <v>8</v>
      </c>
      <c r="M1" s="2" t="s">
        <v>9</v>
      </c>
      <c r="N1" s="2" t="s">
        <v>174</v>
      </c>
      <c r="O1" s="2" t="s">
        <v>175</v>
      </c>
      <c r="P1" s="2" t="s">
        <v>176</v>
      </c>
      <c r="Q1" s="2" t="s">
        <v>177</v>
      </c>
      <c r="R1" s="2" t="s">
        <v>178</v>
      </c>
      <c r="S1" s="2" t="s">
        <v>179</v>
      </c>
      <c r="T1" s="2" t="s">
        <v>3</v>
      </c>
      <c r="U1" s="2" t="s">
        <v>5</v>
      </c>
    </row>
    <row r="2" spans="1:21" ht="25.5" x14ac:dyDescent="0.25">
      <c r="A2" s="3" t="s">
        <v>11</v>
      </c>
      <c r="B2" s="3" t="s">
        <v>13</v>
      </c>
      <c r="C2" s="3" t="s">
        <v>25</v>
      </c>
      <c r="D2" s="4" t="s">
        <v>10</v>
      </c>
      <c r="E2" s="4" t="s">
        <v>12</v>
      </c>
      <c r="F2" s="3" t="s">
        <v>14</v>
      </c>
      <c r="G2" s="3" t="s">
        <v>22</v>
      </c>
      <c r="H2" s="3" t="s">
        <v>134</v>
      </c>
      <c r="I2" s="3">
        <v>60</v>
      </c>
      <c r="J2" s="11" t="s">
        <v>136</v>
      </c>
      <c r="K2" s="3">
        <f>24*I2</f>
        <v>1440</v>
      </c>
      <c r="L2" s="3">
        <v>15</v>
      </c>
      <c r="M2" s="3">
        <f>L2*K2</f>
        <v>21600</v>
      </c>
      <c r="N2" s="1">
        <f>1.1*M2*5</f>
        <v>118800.00000000001</v>
      </c>
      <c r="O2" s="1">
        <f>1.1*M2*10</f>
        <v>237600.00000000003</v>
      </c>
      <c r="P2" s="1">
        <f>1.1*M2*15</f>
        <v>356400.00000000006</v>
      </c>
      <c r="Q2" s="1">
        <f>1.1*M2*20</f>
        <v>475200.00000000006</v>
      </c>
      <c r="R2" s="1">
        <f>1.1*M2*25</f>
        <v>594000.00000000012</v>
      </c>
      <c r="S2" s="1">
        <f>1.1*M2*30</f>
        <v>712800.00000000012</v>
      </c>
      <c r="T2" s="3" t="s">
        <v>15</v>
      </c>
      <c r="U2" s="3" t="s">
        <v>16</v>
      </c>
    </row>
    <row r="3" spans="1:21" ht="38.25" x14ac:dyDescent="0.25">
      <c r="A3" s="3" t="s">
        <v>11</v>
      </c>
      <c r="B3" s="3" t="s">
        <v>13</v>
      </c>
      <c r="C3" s="3" t="s">
        <v>24</v>
      </c>
      <c r="D3" s="4" t="s">
        <v>10</v>
      </c>
      <c r="E3" s="4" t="s">
        <v>12</v>
      </c>
      <c r="F3" s="3" t="s">
        <v>20</v>
      </c>
      <c r="G3" s="3" t="s">
        <v>17</v>
      </c>
      <c r="H3" s="3" t="s">
        <v>134</v>
      </c>
      <c r="I3" s="3">
        <v>30</v>
      </c>
      <c r="J3" s="3" t="s">
        <v>137</v>
      </c>
      <c r="K3" s="3">
        <f>3*I3</f>
        <v>90</v>
      </c>
      <c r="L3" s="3">
        <v>15</v>
      </c>
      <c r="M3" s="3">
        <f>L3*K3</f>
        <v>1350</v>
      </c>
      <c r="N3" s="1">
        <f>6.1*M3*5</f>
        <v>41175</v>
      </c>
      <c r="O3" s="1">
        <f>6.1*M3*10</f>
        <v>82350</v>
      </c>
      <c r="P3" s="1">
        <f>6.1*M3*15</f>
        <v>123525</v>
      </c>
      <c r="Q3" s="1">
        <f>6.1*M3*20</f>
        <v>164700</v>
      </c>
      <c r="R3" s="1">
        <f>6.1*M3*25</f>
        <v>205875</v>
      </c>
      <c r="S3" s="1">
        <f>6.1*M3*30</f>
        <v>247050</v>
      </c>
      <c r="T3" s="3" t="s">
        <v>18</v>
      </c>
      <c r="U3" s="3" t="s">
        <v>19</v>
      </c>
    </row>
    <row r="4" spans="1:21" ht="25.5" x14ac:dyDescent="0.25">
      <c r="A4" s="3" t="s">
        <v>11</v>
      </c>
      <c r="B4" s="3" t="s">
        <v>13</v>
      </c>
      <c r="C4" s="3" t="s">
        <v>23</v>
      </c>
      <c r="D4" s="4" t="s">
        <v>10</v>
      </c>
      <c r="E4" s="4" t="s">
        <v>12</v>
      </c>
      <c r="F4" s="3" t="s">
        <v>26</v>
      </c>
      <c r="G4" s="3" t="s">
        <v>17</v>
      </c>
      <c r="H4" s="3" t="s">
        <v>134</v>
      </c>
      <c r="I4" s="3">
        <v>12</v>
      </c>
      <c r="J4" s="11" t="s">
        <v>136</v>
      </c>
      <c r="K4" s="3">
        <f>24*I4</f>
        <v>288</v>
      </c>
      <c r="L4" s="3">
        <v>15</v>
      </c>
      <c r="M4" s="3">
        <f>L4*K4</f>
        <v>4320</v>
      </c>
      <c r="N4" s="1">
        <f>0.5*M4*5</f>
        <v>10800</v>
      </c>
      <c r="O4" s="1">
        <f>0.5*M4*10</f>
        <v>21600</v>
      </c>
      <c r="P4" s="1">
        <f>0.5*M4*15</f>
        <v>32400</v>
      </c>
      <c r="Q4" s="1">
        <f>0.5*M4*20</f>
        <v>43200</v>
      </c>
      <c r="R4" s="1">
        <f>0.5*M4*25</f>
        <v>54000</v>
      </c>
      <c r="S4" s="1">
        <f>0.5*M4*30</f>
        <v>64800</v>
      </c>
      <c r="T4" s="3" t="s">
        <v>27</v>
      </c>
      <c r="U4" s="3" t="s">
        <v>28</v>
      </c>
    </row>
    <row r="5" spans="1:21" ht="25.5" x14ac:dyDescent="0.25">
      <c r="A5" s="3" t="s">
        <v>11</v>
      </c>
      <c r="B5" s="3" t="s">
        <v>13</v>
      </c>
      <c r="C5" s="3" t="s">
        <v>77</v>
      </c>
      <c r="D5" s="4" t="s">
        <v>10</v>
      </c>
      <c r="E5" s="4" t="s">
        <v>12</v>
      </c>
      <c r="F5" s="3" t="s">
        <v>169</v>
      </c>
      <c r="G5" s="3" t="s">
        <v>17</v>
      </c>
      <c r="H5" s="3" t="s">
        <v>134</v>
      </c>
      <c r="I5" s="3">
        <v>12</v>
      </c>
      <c r="J5" s="11" t="s">
        <v>136</v>
      </c>
      <c r="K5" s="3">
        <f t="shared" ref="K5:K30" si="0">24*I5</f>
        <v>288</v>
      </c>
      <c r="L5" s="3">
        <v>15</v>
      </c>
      <c r="M5" s="3">
        <f>L5*K5</f>
        <v>4320</v>
      </c>
      <c r="N5" s="1">
        <f>8.6*M5*5</f>
        <v>185760</v>
      </c>
      <c r="O5" s="1">
        <f>8.6*M5*10</f>
        <v>371520</v>
      </c>
      <c r="P5" s="1">
        <f>8.6*M5*15</f>
        <v>557280</v>
      </c>
      <c r="Q5" s="1">
        <f>8.6*M5*20</f>
        <v>743040</v>
      </c>
      <c r="R5" s="1">
        <f>8.6*M5*25</f>
        <v>928800</v>
      </c>
      <c r="S5" s="1">
        <f>8.6*M5*30</f>
        <v>1114560</v>
      </c>
      <c r="T5" s="3" t="s">
        <v>36</v>
      </c>
      <c r="U5" s="3" t="s">
        <v>70</v>
      </c>
    </row>
    <row r="6" spans="1:21" ht="25.5" x14ac:dyDescent="0.25">
      <c r="A6" s="3" t="s">
        <v>11</v>
      </c>
      <c r="B6" s="3" t="s">
        <v>13</v>
      </c>
      <c r="C6" s="3" t="s">
        <v>101</v>
      </c>
      <c r="D6" s="4" t="s">
        <v>10</v>
      </c>
      <c r="E6" s="4" t="s">
        <v>12</v>
      </c>
      <c r="F6" s="3" t="s">
        <v>32</v>
      </c>
      <c r="G6" s="3" t="s">
        <v>17</v>
      </c>
      <c r="H6" s="3" t="s">
        <v>134</v>
      </c>
      <c r="I6" s="3">
        <v>12</v>
      </c>
      <c r="J6" s="11" t="s">
        <v>136</v>
      </c>
      <c r="K6" s="3">
        <f t="shared" si="0"/>
        <v>288</v>
      </c>
      <c r="L6" s="3">
        <v>15</v>
      </c>
      <c r="M6" s="3">
        <f t="shared" ref="M6:M39" si="1">L6*K6</f>
        <v>4320</v>
      </c>
      <c r="N6" s="1">
        <f>8.6*M6*5</f>
        <v>185760</v>
      </c>
      <c r="O6" s="1">
        <f>8.6*M6*10</f>
        <v>371520</v>
      </c>
      <c r="P6" s="1">
        <f>8.6*M6*15</f>
        <v>557280</v>
      </c>
      <c r="Q6" s="1">
        <f>8.6*M6*20</f>
        <v>743040</v>
      </c>
      <c r="R6" s="1">
        <f>8.6*M6*25</f>
        <v>928800</v>
      </c>
      <c r="S6" s="1">
        <f>8.6*M6*30</f>
        <v>1114560</v>
      </c>
      <c r="T6" s="3" t="s">
        <v>37</v>
      </c>
      <c r="U6" s="3" t="s">
        <v>71</v>
      </c>
    </row>
    <row r="7" spans="1:21" ht="25.5" x14ac:dyDescent="0.25">
      <c r="A7" s="3" t="s">
        <v>11</v>
      </c>
      <c r="B7" s="3" t="s">
        <v>13</v>
      </c>
      <c r="C7" s="3" t="s">
        <v>102</v>
      </c>
      <c r="D7" s="4" t="s">
        <v>10</v>
      </c>
      <c r="E7" s="4" t="s">
        <v>12</v>
      </c>
      <c r="F7" s="3" t="s">
        <v>33</v>
      </c>
      <c r="G7" s="3" t="s">
        <v>17</v>
      </c>
      <c r="H7" s="3" t="s">
        <v>134</v>
      </c>
      <c r="I7" s="3">
        <v>12</v>
      </c>
      <c r="J7" s="3" t="s">
        <v>138</v>
      </c>
      <c r="K7" s="3">
        <f>16*I7</f>
        <v>192</v>
      </c>
      <c r="L7" s="3">
        <v>15</v>
      </c>
      <c r="M7" s="3">
        <f t="shared" si="1"/>
        <v>2880</v>
      </c>
      <c r="N7" s="1">
        <f>13*M7*5</f>
        <v>187200</v>
      </c>
      <c r="O7" s="1">
        <f>13*M7*10</f>
        <v>374400</v>
      </c>
      <c r="P7" s="1">
        <f>13*M7*15</f>
        <v>561600</v>
      </c>
      <c r="Q7" s="1">
        <f>13*M7*20</f>
        <v>748800</v>
      </c>
      <c r="R7" s="1">
        <f>13*M7*25</f>
        <v>936000</v>
      </c>
      <c r="S7" s="1">
        <f>13*M7*30</f>
        <v>1123200</v>
      </c>
      <c r="T7" s="3" t="s">
        <v>38</v>
      </c>
      <c r="U7" s="3" t="s">
        <v>72</v>
      </c>
    </row>
    <row r="8" spans="1:21" ht="25.5" x14ac:dyDescent="0.25">
      <c r="A8" s="3" t="s">
        <v>11</v>
      </c>
      <c r="B8" s="3" t="s">
        <v>13</v>
      </c>
      <c r="C8" s="3" t="s">
        <v>103</v>
      </c>
      <c r="D8" s="4" t="s">
        <v>10</v>
      </c>
      <c r="E8" s="4" t="s">
        <v>12</v>
      </c>
      <c r="F8" s="3" t="s">
        <v>168</v>
      </c>
      <c r="G8" s="3" t="s">
        <v>17</v>
      </c>
      <c r="H8" s="3" t="s">
        <v>134</v>
      </c>
      <c r="I8" s="3">
        <v>12</v>
      </c>
      <c r="J8" s="11" t="s">
        <v>136</v>
      </c>
      <c r="K8" s="3">
        <f t="shared" si="0"/>
        <v>288</v>
      </c>
      <c r="L8" s="3">
        <v>15</v>
      </c>
      <c r="M8" s="3">
        <f t="shared" si="1"/>
        <v>4320</v>
      </c>
      <c r="N8" s="1">
        <f>7.5*M8*5</f>
        <v>162000</v>
      </c>
      <c r="O8" s="1">
        <f>7.5*M8*10</f>
        <v>324000</v>
      </c>
      <c r="P8" s="1">
        <f>7.5*M8*15</f>
        <v>486000</v>
      </c>
      <c r="Q8" s="1">
        <f>7.5*M8*20</f>
        <v>648000</v>
      </c>
      <c r="R8" s="1">
        <f>7.5*M8*25</f>
        <v>810000</v>
      </c>
      <c r="S8" s="1">
        <f>7.5*M8*30</f>
        <v>972000</v>
      </c>
      <c r="T8" s="3" t="s">
        <v>39</v>
      </c>
      <c r="U8" s="3" t="s">
        <v>73</v>
      </c>
    </row>
    <row r="9" spans="1:21" ht="25.5" x14ac:dyDescent="0.25">
      <c r="A9" s="3" t="s">
        <v>11</v>
      </c>
      <c r="B9" s="3" t="s">
        <v>13</v>
      </c>
      <c r="C9" s="3" t="s">
        <v>104</v>
      </c>
      <c r="D9" s="4" t="s">
        <v>10</v>
      </c>
      <c r="E9" s="4" t="s">
        <v>12</v>
      </c>
      <c r="F9" s="3" t="s">
        <v>167</v>
      </c>
      <c r="G9" s="3" t="s">
        <v>17</v>
      </c>
      <c r="H9" s="3" t="s">
        <v>134</v>
      </c>
      <c r="I9" s="3">
        <v>12</v>
      </c>
      <c r="J9" s="11" t="s">
        <v>136</v>
      </c>
      <c r="K9" s="3">
        <f t="shared" si="0"/>
        <v>288</v>
      </c>
      <c r="L9" s="3">
        <v>15</v>
      </c>
      <c r="M9" s="3">
        <f t="shared" si="1"/>
        <v>4320</v>
      </c>
      <c r="N9" s="1">
        <f>7.5*M9*5</f>
        <v>162000</v>
      </c>
      <c r="O9" s="1">
        <f>7.5*M9*10</f>
        <v>324000</v>
      </c>
      <c r="P9" s="1">
        <f>7.5*M9*15</f>
        <v>486000</v>
      </c>
      <c r="Q9" s="1">
        <f>7.5*M9*20</f>
        <v>648000</v>
      </c>
      <c r="R9" s="1">
        <f>7.5*M9*25</f>
        <v>810000</v>
      </c>
      <c r="S9" s="1">
        <f>7.5*M9*30</f>
        <v>972000</v>
      </c>
      <c r="T9" s="3" t="s">
        <v>40</v>
      </c>
      <c r="U9" s="3" t="s">
        <v>74</v>
      </c>
    </row>
    <row r="10" spans="1:21" ht="25.5" x14ac:dyDescent="0.25">
      <c r="A10" s="3" t="s">
        <v>11</v>
      </c>
      <c r="B10" s="3" t="s">
        <v>13</v>
      </c>
      <c r="C10" s="3" t="s">
        <v>105</v>
      </c>
      <c r="D10" s="4" t="s">
        <v>10</v>
      </c>
      <c r="E10" s="4" t="s">
        <v>12</v>
      </c>
      <c r="F10" s="3" t="s">
        <v>166</v>
      </c>
      <c r="G10" s="3" t="s">
        <v>17</v>
      </c>
      <c r="H10" s="3" t="s">
        <v>134</v>
      </c>
      <c r="I10" s="3">
        <v>12</v>
      </c>
      <c r="J10" s="11" t="s">
        <v>136</v>
      </c>
      <c r="K10" s="3">
        <f t="shared" si="0"/>
        <v>288</v>
      </c>
      <c r="L10" s="3">
        <v>15</v>
      </c>
      <c r="M10" s="3">
        <f t="shared" si="1"/>
        <v>4320</v>
      </c>
      <c r="N10" s="1">
        <f>7.5*M10*5</f>
        <v>162000</v>
      </c>
      <c r="O10" s="1">
        <f>7.5*M10*10</f>
        <v>324000</v>
      </c>
      <c r="P10" s="1">
        <f>7.5*M10*15</f>
        <v>486000</v>
      </c>
      <c r="Q10" s="1">
        <f>7.5*M10*20</f>
        <v>648000</v>
      </c>
      <c r="R10" s="1">
        <f>7.5*M10*25</f>
        <v>810000</v>
      </c>
      <c r="S10" s="1">
        <f>7.5*M10*30</f>
        <v>972000</v>
      </c>
      <c r="T10" s="3" t="s">
        <v>41</v>
      </c>
      <c r="U10" s="3" t="s">
        <v>75</v>
      </c>
    </row>
    <row r="11" spans="1:21" ht="25.5" x14ac:dyDescent="0.25">
      <c r="A11" s="3" t="s">
        <v>11</v>
      </c>
      <c r="B11" s="3" t="s">
        <v>13</v>
      </c>
      <c r="C11" s="3" t="s">
        <v>111</v>
      </c>
      <c r="D11" s="4" t="s">
        <v>10</v>
      </c>
      <c r="E11" s="4" t="s">
        <v>12</v>
      </c>
      <c r="F11" s="3" t="s">
        <v>165</v>
      </c>
      <c r="G11" s="3" t="s">
        <v>17</v>
      </c>
      <c r="H11" s="3" t="s">
        <v>134</v>
      </c>
      <c r="I11" s="3">
        <v>12</v>
      </c>
      <c r="J11" s="11" t="s">
        <v>136</v>
      </c>
      <c r="K11" s="3">
        <f t="shared" si="0"/>
        <v>288</v>
      </c>
      <c r="L11" s="3">
        <v>15</v>
      </c>
      <c r="M11" s="3">
        <f t="shared" si="1"/>
        <v>4320</v>
      </c>
      <c r="N11" s="1">
        <f>4*M11*5</f>
        <v>86400</v>
      </c>
      <c r="O11" s="1">
        <f>4*M11*10</f>
        <v>172800</v>
      </c>
      <c r="P11" s="1">
        <f>4*M11*15</f>
        <v>259200</v>
      </c>
      <c r="Q11" s="1">
        <f>4*M11*20</f>
        <v>345600</v>
      </c>
      <c r="R11" s="1">
        <f>4*M11*25</f>
        <v>432000</v>
      </c>
      <c r="S11" s="1">
        <f>4*M11*30</f>
        <v>518400</v>
      </c>
      <c r="T11" s="3" t="s">
        <v>42</v>
      </c>
      <c r="U11" s="3" t="s">
        <v>76</v>
      </c>
    </row>
    <row r="12" spans="1:21" ht="25.5" x14ac:dyDescent="0.25">
      <c r="A12" s="3" t="s">
        <v>11</v>
      </c>
      <c r="B12" s="3" t="s">
        <v>13</v>
      </c>
      <c r="C12" s="3" t="s">
        <v>106</v>
      </c>
      <c r="D12" s="4" t="s">
        <v>10</v>
      </c>
      <c r="E12" s="4" t="s">
        <v>12</v>
      </c>
      <c r="F12" s="3" t="s">
        <v>34</v>
      </c>
      <c r="G12" s="3" t="s">
        <v>17</v>
      </c>
      <c r="H12" s="3" t="s">
        <v>134</v>
      </c>
      <c r="I12" s="3">
        <v>12</v>
      </c>
      <c r="J12" s="11" t="s">
        <v>136</v>
      </c>
      <c r="K12" s="3">
        <f t="shared" si="0"/>
        <v>288</v>
      </c>
      <c r="L12" s="3">
        <v>15</v>
      </c>
      <c r="M12" s="3">
        <f t="shared" si="1"/>
        <v>4320</v>
      </c>
      <c r="N12" s="1">
        <f>4*M12*5</f>
        <v>86400</v>
      </c>
      <c r="O12" s="1">
        <f>4*M12*10</f>
        <v>172800</v>
      </c>
      <c r="P12" s="1">
        <f>4*M12*15</f>
        <v>259200</v>
      </c>
      <c r="Q12" s="1">
        <f>4*M12*20</f>
        <v>345600</v>
      </c>
      <c r="R12" s="1">
        <f>4*M12*25</f>
        <v>432000</v>
      </c>
      <c r="S12" s="1">
        <f>4*M12*30</f>
        <v>518400</v>
      </c>
      <c r="T12" s="3" t="s">
        <v>43</v>
      </c>
      <c r="U12" s="3" t="s">
        <v>78</v>
      </c>
    </row>
    <row r="13" spans="1:21" ht="25.5" x14ac:dyDescent="0.25">
      <c r="A13" s="3" t="s">
        <v>11</v>
      </c>
      <c r="B13" s="3" t="s">
        <v>13</v>
      </c>
      <c r="C13" s="3" t="s">
        <v>107</v>
      </c>
      <c r="D13" s="4" t="s">
        <v>10</v>
      </c>
      <c r="E13" s="4" t="s">
        <v>12</v>
      </c>
      <c r="F13" s="3" t="s">
        <v>14</v>
      </c>
      <c r="G13" s="3" t="s">
        <v>17</v>
      </c>
      <c r="H13" s="3" t="s">
        <v>134</v>
      </c>
      <c r="I13" s="3">
        <v>12</v>
      </c>
      <c r="J13" s="3" t="s">
        <v>138</v>
      </c>
      <c r="K13" s="3">
        <f>16*I13</f>
        <v>192</v>
      </c>
      <c r="L13" s="3">
        <v>15</v>
      </c>
      <c r="M13" s="3">
        <f t="shared" si="1"/>
        <v>2880</v>
      </c>
      <c r="N13" s="1">
        <f>4*M13*5</f>
        <v>57600</v>
      </c>
      <c r="O13" s="1">
        <f>4*M13*10</f>
        <v>115200</v>
      </c>
      <c r="P13" s="1">
        <f>4*M13*15</f>
        <v>172800</v>
      </c>
      <c r="Q13" s="1">
        <f>4*M13*20</f>
        <v>230400</v>
      </c>
      <c r="R13" s="1">
        <f>4*M13*25</f>
        <v>288000</v>
      </c>
      <c r="S13" s="1">
        <f>4*M13*30</f>
        <v>345600</v>
      </c>
      <c r="T13" s="3" t="s">
        <v>44</v>
      </c>
      <c r="U13" s="3" t="s">
        <v>16</v>
      </c>
    </row>
    <row r="14" spans="1:21" ht="25.5" x14ac:dyDescent="0.25">
      <c r="A14" s="3" t="s">
        <v>11</v>
      </c>
      <c r="B14" s="3" t="s">
        <v>13</v>
      </c>
      <c r="C14" s="3" t="s">
        <v>108</v>
      </c>
      <c r="D14" s="4" t="s">
        <v>10</v>
      </c>
      <c r="E14" s="4" t="s">
        <v>12</v>
      </c>
      <c r="F14" s="3" t="s">
        <v>34</v>
      </c>
      <c r="G14" s="3" t="s">
        <v>17</v>
      </c>
      <c r="H14" s="3" t="s">
        <v>134</v>
      </c>
      <c r="I14" s="3">
        <v>12</v>
      </c>
      <c r="J14" s="11" t="s">
        <v>136</v>
      </c>
      <c r="K14" s="3">
        <f t="shared" si="0"/>
        <v>288</v>
      </c>
      <c r="L14" s="3">
        <v>15</v>
      </c>
      <c r="M14" s="3">
        <f t="shared" si="1"/>
        <v>4320</v>
      </c>
      <c r="N14" s="1">
        <f>2.5*M14*5</f>
        <v>54000</v>
      </c>
      <c r="O14" s="1">
        <f>2.5*M14*10</f>
        <v>108000</v>
      </c>
      <c r="P14" s="1">
        <f>2.5*M14*15</f>
        <v>162000</v>
      </c>
      <c r="Q14" s="1">
        <f>2.5*M14*20</f>
        <v>216000</v>
      </c>
      <c r="R14" s="1">
        <f>2.5*M14*25</f>
        <v>270000</v>
      </c>
      <c r="S14" s="1">
        <f>2.5*M14*30</f>
        <v>324000</v>
      </c>
      <c r="T14" s="3" t="s">
        <v>45</v>
      </c>
      <c r="U14" s="3" t="s">
        <v>16</v>
      </c>
    </row>
    <row r="15" spans="1:21" ht="25.5" x14ac:dyDescent="0.25">
      <c r="A15" s="3" t="s">
        <v>11</v>
      </c>
      <c r="B15" s="3" t="s">
        <v>13</v>
      </c>
      <c r="C15" s="3" t="s">
        <v>109</v>
      </c>
      <c r="D15" s="4" t="s">
        <v>10</v>
      </c>
      <c r="E15" s="4" t="s">
        <v>12</v>
      </c>
      <c r="F15" s="3" t="s">
        <v>35</v>
      </c>
      <c r="G15" s="3" t="s">
        <v>17</v>
      </c>
      <c r="H15" s="3" t="s">
        <v>134</v>
      </c>
      <c r="I15" s="3">
        <v>12</v>
      </c>
      <c r="J15" s="11" t="s">
        <v>136</v>
      </c>
      <c r="K15" s="3">
        <f t="shared" si="0"/>
        <v>288</v>
      </c>
      <c r="L15" s="3">
        <v>15</v>
      </c>
      <c r="M15" s="3">
        <f t="shared" si="1"/>
        <v>4320</v>
      </c>
      <c r="N15" s="1">
        <f>2.5*M15*5</f>
        <v>54000</v>
      </c>
      <c r="O15" s="1">
        <f>2.5*M15*10</f>
        <v>108000</v>
      </c>
      <c r="P15" s="1">
        <f>2.5*M15*15</f>
        <v>162000</v>
      </c>
      <c r="Q15" s="1">
        <f>2.5*M15*20</f>
        <v>216000</v>
      </c>
      <c r="R15" s="1">
        <f>2.5*M15*25</f>
        <v>270000</v>
      </c>
      <c r="S15" s="1">
        <f>2.5*M15*30</f>
        <v>324000</v>
      </c>
      <c r="T15" s="3" t="s">
        <v>46</v>
      </c>
      <c r="U15" s="3" t="s">
        <v>79</v>
      </c>
    </row>
    <row r="16" spans="1:21" ht="25.5" x14ac:dyDescent="0.25">
      <c r="A16" s="3" t="s">
        <v>11</v>
      </c>
      <c r="B16" s="3" t="s">
        <v>13</v>
      </c>
      <c r="C16" s="3" t="s">
        <v>110</v>
      </c>
      <c r="D16" s="4" t="s">
        <v>10</v>
      </c>
      <c r="E16" s="4" t="s">
        <v>12</v>
      </c>
      <c r="F16" s="3" t="s">
        <v>164</v>
      </c>
      <c r="G16" s="3" t="s">
        <v>17</v>
      </c>
      <c r="H16" s="3" t="s">
        <v>134</v>
      </c>
      <c r="I16" s="3">
        <v>12</v>
      </c>
      <c r="J16" s="11" t="s">
        <v>136</v>
      </c>
      <c r="K16" s="3">
        <f t="shared" si="0"/>
        <v>288</v>
      </c>
      <c r="L16" s="3">
        <v>15</v>
      </c>
      <c r="M16" s="3">
        <f t="shared" si="1"/>
        <v>4320</v>
      </c>
      <c r="N16" s="1">
        <f>2.5*M16*5</f>
        <v>54000</v>
      </c>
      <c r="O16" s="1">
        <f>2.5*M16*10</f>
        <v>108000</v>
      </c>
      <c r="P16" s="1">
        <f>2.5*M16*15</f>
        <v>162000</v>
      </c>
      <c r="Q16" s="1">
        <f>2.5*M16*20</f>
        <v>216000</v>
      </c>
      <c r="R16" s="1">
        <f>2.5*M16*25</f>
        <v>270000</v>
      </c>
      <c r="S16" s="1">
        <f>2.5*M16*30</f>
        <v>324000</v>
      </c>
      <c r="T16" s="3" t="s">
        <v>47</v>
      </c>
      <c r="U16" s="3" t="s">
        <v>80</v>
      </c>
    </row>
    <row r="17" spans="1:21" ht="25.5" x14ac:dyDescent="0.25">
      <c r="A17" s="3" t="s">
        <v>11</v>
      </c>
      <c r="B17" s="3" t="s">
        <v>13</v>
      </c>
      <c r="C17" s="3" t="s">
        <v>112</v>
      </c>
      <c r="D17" s="4" t="s">
        <v>10</v>
      </c>
      <c r="E17" s="4" t="s">
        <v>12</v>
      </c>
      <c r="F17" s="3" t="s">
        <v>163</v>
      </c>
      <c r="G17" s="3" t="s">
        <v>17</v>
      </c>
      <c r="H17" s="3" t="s">
        <v>134</v>
      </c>
      <c r="I17" s="3">
        <v>12</v>
      </c>
      <c r="J17" s="3" t="s">
        <v>139</v>
      </c>
      <c r="K17" s="3">
        <f>14*I17</f>
        <v>168</v>
      </c>
      <c r="L17" s="3">
        <v>15</v>
      </c>
      <c r="M17" s="3">
        <f t="shared" si="1"/>
        <v>2520</v>
      </c>
      <c r="N17" s="1">
        <f>3.7*M17*5</f>
        <v>46620</v>
      </c>
      <c r="O17" s="1">
        <f>3.7*M17*10</f>
        <v>93240</v>
      </c>
      <c r="P17" s="1">
        <f>3.7*M17*15</f>
        <v>139860</v>
      </c>
      <c r="Q17" s="1">
        <f>3.7*M17*20</f>
        <v>186480</v>
      </c>
      <c r="R17" s="1">
        <f>3.7*M17*25</f>
        <v>233100</v>
      </c>
      <c r="S17" s="1">
        <f>3.7*M17*30</f>
        <v>279720</v>
      </c>
      <c r="T17" s="3" t="s">
        <v>48</v>
      </c>
      <c r="U17" s="3" t="s">
        <v>71</v>
      </c>
    </row>
    <row r="18" spans="1:21" ht="25.5" x14ac:dyDescent="0.25">
      <c r="A18" s="3" t="s">
        <v>11</v>
      </c>
      <c r="B18" s="3" t="s">
        <v>13</v>
      </c>
      <c r="C18" s="3" t="s">
        <v>113</v>
      </c>
      <c r="D18" s="4" t="s">
        <v>10</v>
      </c>
      <c r="E18" s="4" t="s">
        <v>12</v>
      </c>
      <c r="F18" s="3" t="s">
        <v>162</v>
      </c>
      <c r="G18" s="3" t="s">
        <v>17</v>
      </c>
      <c r="H18" s="3" t="s">
        <v>134</v>
      </c>
      <c r="I18" s="3">
        <v>12</v>
      </c>
      <c r="J18" s="11" t="s">
        <v>136</v>
      </c>
      <c r="K18" s="3">
        <f t="shared" si="0"/>
        <v>288</v>
      </c>
      <c r="L18" s="3">
        <v>15</v>
      </c>
      <c r="M18" s="3">
        <f t="shared" si="1"/>
        <v>4320</v>
      </c>
      <c r="N18" s="1">
        <f>2*M18*5</f>
        <v>43200</v>
      </c>
      <c r="O18" s="1">
        <f>2*M18*10</f>
        <v>86400</v>
      </c>
      <c r="P18" s="1">
        <f>2*M18*15</f>
        <v>129600</v>
      </c>
      <c r="Q18" s="1">
        <f>2*M18*20</f>
        <v>172800</v>
      </c>
      <c r="R18" s="1">
        <f>2*M18*25</f>
        <v>216000</v>
      </c>
      <c r="S18" s="1">
        <f>2*M18*30</f>
        <v>259200</v>
      </c>
      <c r="T18" s="3" t="s">
        <v>49</v>
      </c>
      <c r="U18" s="3" t="s">
        <v>81</v>
      </c>
    </row>
    <row r="19" spans="1:21" ht="25.5" x14ac:dyDescent="0.25">
      <c r="A19" s="3" t="s">
        <v>11</v>
      </c>
      <c r="B19" s="3" t="s">
        <v>13</v>
      </c>
      <c r="C19" s="3" t="s">
        <v>114</v>
      </c>
      <c r="D19" s="4" t="s">
        <v>10</v>
      </c>
      <c r="E19" s="4" t="s">
        <v>12</v>
      </c>
      <c r="F19" s="3" t="s">
        <v>161</v>
      </c>
      <c r="G19" s="3" t="s">
        <v>17</v>
      </c>
      <c r="H19" s="3" t="s">
        <v>134</v>
      </c>
      <c r="I19" s="3">
        <v>12</v>
      </c>
      <c r="J19" s="11" t="s">
        <v>136</v>
      </c>
      <c r="K19" s="3">
        <f t="shared" si="0"/>
        <v>288</v>
      </c>
      <c r="L19" s="3">
        <v>15</v>
      </c>
      <c r="M19" s="3">
        <f t="shared" si="1"/>
        <v>4320</v>
      </c>
      <c r="N19" s="1">
        <f>2*M19*5</f>
        <v>43200</v>
      </c>
      <c r="O19" s="1">
        <f>2*M19*10</f>
        <v>86400</v>
      </c>
      <c r="P19" s="1">
        <f>2*M19*15</f>
        <v>129600</v>
      </c>
      <c r="Q19" s="1">
        <f>2*M19*20</f>
        <v>172800</v>
      </c>
      <c r="R19" s="1">
        <f>2*M19*25</f>
        <v>216000</v>
      </c>
      <c r="S19" s="1">
        <f>2*M19*30</f>
        <v>259200</v>
      </c>
      <c r="T19" s="3" t="s">
        <v>50</v>
      </c>
      <c r="U19" s="3" t="s">
        <v>82</v>
      </c>
    </row>
    <row r="20" spans="1:21" ht="25.5" x14ac:dyDescent="0.25">
      <c r="A20" s="3" t="s">
        <v>11</v>
      </c>
      <c r="B20" s="3" t="s">
        <v>13</v>
      </c>
      <c r="C20" s="3" t="s">
        <v>115</v>
      </c>
      <c r="D20" s="4" t="s">
        <v>10</v>
      </c>
      <c r="E20" s="4" t="s">
        <v>12</v>
      </c>
      <c r="F20" s="3" t="s">
        <v>160</v>
      </c>
      <c r="G20" s="3" t="s">
        <v>17</v>
      </c>
      <c r="H20" s="3" t="s">
        <v>134</v>
      </c>
      <c r="I20" s="3">
        <v>12</v>
      </c>
      <c r="J20" s="11" t="s">
        <v>136</v>
      </c>
      <c r="K20" s="3">
        <f t="shared" si="0"/>
        <v>288</v>
      </c>
      <c r="L20" s="3">
        <v>15</v>
      </c>
      <c r="M20" s="3">
        <f t="shared" si="1"/>
        <v>4320</v>
      </c>
      <c r="N20" s="1">
        <f>2*M20*5</f>
        <v>43200</v>
      </c>
      <c r="O20" s="1">
        <f>2*M20*10</f>
        <v>86400</v>
      </c>
      <c r="P20" s="1">
        <f>2*M20*15</f>
        <v>129600</v>
      </c>
      <c r="Q20" s="1">
        <f>2*M20*20</f>
        <v>172800</v>
      </c>
      <c r="R20" s="1">
        <f>2*M20*25</f>
        <v>216000</v>
      </c>
      <c r="S20" s="1">
        <f>2*M20*30</f>
        <v>259200</v>
      </c>
      <c r="T20" s="3" t="s">
        <v>51</v>
      </c>
      <c r="U20" s="3" t="s">
        <v>83</v>
      </c>
    </row>
    <row r="21" spans="1:21" ht="25.5" x14ac:dyDescent="0.25">
      <c r="A21" s="3" t="s">
        <v>11</v>
      </c>
      <c r="B21" s="3" t="s">
        <v>13</v>
      </c>
      <c r="C21" s="3" t="s">
        <v>116</v>
      </c>
      <c r="D21" s="4" t="s">
        <v>10</v>
      </c>
      <c r="E21" s="4" t="s">
        <v>12</v>
      </c>
      <c r="F21" s="3" t="s">
        <v>159</v>
      </c>
      <c r="G21" s="3" t="s">
        <v>22</v>
      </c>
      <c r="H21" s="3" t="s">
        <v>134</v>
      </c>
      <c r="I21" s="3">
        <v>12</v>
      </c>
      <c r="J21" s="11" t="s">
        <v>136</v>
      </c>
      <c r="K21" s="3">
        <f t="shared" si="0"/>
        <v>288</v>
      </c>
      <c r="L21" s="3">
        <v>15</v>
      </c>
      <c r="M21" s="3">
        <f t="shared" si="1"/>
        <v>4320</v>
      </c>
      <c r="N21" s="1">
        <f>2*M21*5</f>
        <v>43200</v>
      </c>
      <c r="O21" s="1">
        <f>2*M21*10</f>
        <v>86400</v>
      </c>
      <c r="P21" s="1">
        <f>2*M21*15</f>
        <v>129600</v>
      </c>
      <c r="Q21" s="1">
        <f>2*M21*20</f>
        <v>172800</v>
      </c>
      <c r="R21" s="1">
        <f>2*M21*25</f>
        <v>216000</v>
      </c>
      <c r="S21" s="1">
        <f>2*M21*30</f>
        <v>259200</v>
      </c>
      <c r="T21" s="3" t="s">
        <v>52</v>
      </c>
      <c r="U21" s="3" t="s">
        <v>84</v>
      </c>
    </row>
    <row r="22" spans="1:21" ht="25.5" x14ac:dyDescent="0.25">
      <c r="A22" s="3" t="s">
        <v>11</v>
      </c>
      <c r="B22" s="3" t="s">
        <v>13</v>
      </c>
      <c r="C22" s="3" t="s">
        <v>117</v>
      </c>
      <c r="D22" s="4" t="s">
        <v>10</v>
      </c>
      <c r="E22" s="4" t="s">
        <v>12</v>
      </c>
      <c r="F22" s="3" t="s">
        <v>156</v>
      </c>
      <c r="G22" s="3" t="s">
        <v>17</v>
      </c>
      <c r="H22" s="3" t="s">
        <v>134</v>
      </c>
      <c r="I22" s="3">
        <v>12</v>
      </c>
      <c r="J22" s="3" t="s">
        <v>138</v>
      </c>
      <c r="K22" s="3">
        <f>16*I22</f>
        <v>192</v>
      </c>
      <c r="L22" s="3">
        <v>15</v>
      </c>
      <c r="M22" s="3">
        <f t="shared" si="1"/>
        <v>2880</v>
      </c>
      <c r="N22" s="1">
        <f>5.5*M22*5</f>
        <v>79200</v>
      </c>
      <c r="O22" s="1">
        <f>5.5*M22*10</f>
        <v>158400</v>
      </c>
      <c r="P22" s="1">
        <f>5.5*M22*15</f>
        <v>237600</v>
      </c>
      <c r="Q22" s="1">
        <f>5.5*M22*20</f>
        <v>316800</v>
      </c>
      <c r="R22" s="1">
        <f>5.5*M22*25</f>
        <v>396000</v>
      </c>
      <c r="S22" s="1">
        <f>5.5*M22*30</f>
        <v>475200</v>
      </c>
      <c r="T22" s="3" t="s">
        <v>53</v>
      </c>
      <c r="U22" s="3" t="s">
        <v>85</v>
      </c>
    </row>
    <row r="23" spans="1:21" ht="38.25" x14ac:dyDescent="0.25">
      <c r="A23" s="3" t="s">
        <v>11</v>
      </c>
      <c r="B23" s="3" t="s">
        <v>13</v>
      </c>
      <c r="C23" s="3" t="s">
        <v>118</v>
      </c>
      <c r="D23" s="4" t="s">
        <v>10</v>
      </c>
      <c r="E23" s="4" t="s">
        <v>12</v>
      </c>
      <c r="F23" s="3" t="s">
        <v>158</v>
      </c>
      <c r="G23" s="3" t="s">
        <v>17</v>
      </c>
      <c r="H23" s="3" t="s">
        <v>134</v>
      </c>
      <c r="I23" s="3">
        <v>12</v>
      </c>
      <c r="J23" s="11" t="s">
        <v>136</v>
      </c>
      <c r="K23" s="3">
        <f t="shared" si="0"/>
        <v>288</v>
      </c>
      <c r="L23" s="3">
        <v>15</v>
      </c>
      <c r="M23" s="3">
        <f t="shared" si="1"/>
        <v>4320</v>
      </c>
      <c r="N23" s="1">
        <f>1.5*M23*5</f>
        <v>32400</v>
      </c>
      <c r="O23" s="1">
        <f>1.5*M23*10</f>
        <v>64800</v>
      </c>
      <c r="P23" s="1">
        <f>1.5*M23*15</f>
        <v>97200</v>
      </c>
      <c r="Q23" s="1">
        <f>1.5*M23*20</f>
        <v>129600</v>
      </c>
      <c r="R23" s="1">
        <f>1.5*M23*25</f>
        <v>162000</v>
      </c>
      <c r="S23" s="1">
        <f>1.5*M23*30</f>
        <v>194400</v>
      </c>
      <c r="T23" s="3" t="s">
        <v>54</v>
      </c>
      <c r="U23" s="3" t="s">
        <v>86</v>
      </c>
    </row>
    <row r="24" spans="1:21" ht="25.5" x14ac:dyDescent="0.25">
      <c r="A24" s="3" t="s">
        <v>11</v>
      </c>
      <c r="B24" s="3" t="s">
        <v>13</v>
      </c>
      <c r="C24" s="3" t="s">
        <v>29</v>
      </c>
      <c r="D24" s="4" t="s">
        <v>10</v>
      </c>
      <c r="E24" s="4" t="s">
        <v>12</v>
      </c>
      <c r="F24" s="3" t="s">
        <v>157</v>
      </c>
      <c r="G24" s="3" t="s">
        <v>17</v>
      </c>
      <c r="H24" s="3" t="s">
        <v>134</v>
      </c>
      <c r="I24" s="3">
        <v>12</v>
      </c>
      <c r="J24" s="11" t="s">
        <v>136</v>
      </c>
      <c r="K24" s="3">
        <f t="shared" si="0"/>
        <v>288</v>
      </c>
      <c r="L24" s="3">
        <v>15</v>
      </c>
      <c r="M24" s="3">
        <f t="shared" si="1"/>
        <v>4320</v>
      </c>
      <c r="N24" s="1">
        <f>1.5*M24*5</f>
        <v>32400</v>
      </c>
      <c r="O24" s="1">
        <f>1.5*M24*10</f>
        <v>64800</v>
      </c>
      <c r="P24" s="1">
        <f>1.5*M24*15</f>
        <v>97200</v>
      </c>
      <c r="Q24" s="1">
        <f>1.5*M24*20</f>
        <v>129600</v>
      </c>
      <c r="R24" s="1">
        <f>1.5*M24*25</f>
        <v>162000</v>
      </c>
      <c r="S24" s="1">
        <f>1.5*M24*30</f>
        <v>194400</v>
      </c>
      <c r="T24" s="3" t="s">
        <v>55</v>
      </c>
      <c r="U24" s="3" t="s">
        <v>87</v>
      </c>
    </row>
    <row r="25" spans="1:21" ht="25.5" x14ac:dyDescent="0.25">
      <c r="A25" s="3" t="s">
        <v>11</v>
      </c>
      <c r="B25" s="3" t="s">
        <v>13</v>
      </c>
      <c r="C25" s="3" t="s">
        <v>119</v>
      </c>
      <c r="D25" s="4" t="s">
        <v>10</v>
      </c>
      <c r="E25" s="4" t="s">
        <v>12</v>
      </c>
      <c r="F25" s="3" t="s">
        <v>156</v>
      </c>
      <c r="G25" s="3" t="s">
        <v>17</v>
      </c>
      <c r="H25" s="3" t="s">
        <v>134</v>
      </c>
      <c r="I25" s="3">
        <v>12</v>
      </c>
      <c r="J25" s="11" t="s">
        <v>136</v>
      </c>
      <c r="K25" s="3">
        <f t="shared" si="0"/>
        <v>288</v>
      </c>
      <c r="L25" s="3">
        <v>15</v>
      </c>
      <c r="M25" s="3">
        <f t="shared" si="1"/>
        <v>4320</v>
      </c>
      <c r="N25" s="1">
        <f t="shared" ref="N25:N27" si="2">1.5*M25*5</f>
        <v>32400</v>
      </c>
      <c r="O25" s="1">
        <f t="shared" ref="O25:O27" si="3">1.5*M25*10</f>
        <v>64800</v>
      </c>
      <c r="P25" s="1">
        <f t="shared" ref="P25:P27" si="4">1.5*M25*15</f>
        <v>97200</v>
      </c>
      <c r="Q25" s="1">
        <f t="shared" ref="Q25:Q27" si="5">1.5*M25*20</f>
        <v>129600</v>
      </c>
      <c r="R25" s="1">
        <f t="shared" ref="R25:R27" si="6">1.5*M25*25</f>
        <v>162000</v>
      </c>
      <c r="S25" s="1">
        <f t="shared" ref="S25:S27" si="7">1.5*M25*30</f>
        <v>194400</v>
      </c>
      <c r="T25" s="3" t="s">
        <v>56</v>
      </c>
      <c r="U25" s="3" t="s">
        <v>88</v>
      </c>
    </row>
    <row r="26" spans="1:21" ht="25.5" x14ac:dyDescent="0.25">
      <c r="A26" s="3" t="s">
        <v>11</v>
      </c>
      <c r="B26" s="3" t="s">
        <v>13</v>
      </c>
      <c r="C26" s="3" t="s">
        <v>120</v>
      </c>
      <c r="D26" s="4" t="s">
        <v>10</v>
      </c>
      <c r="E26" s="4" t="s">
        <v>12</v>
      </c>
      <c r="F26" s="3" t="s">
        <v>153</v>
      </c>
      <c r="G26" s="3" t="s">
        <v>17</v>
      </c>
      <c r="H26" s="3" t="s">
        <v>134</v>
      </c>
      <c r="I26" s="3">
        <v>12</v>
      </c>
      <c r="J26" s="11" t="s">
        <v>136</v>
      </c>
      <c r="K26" s="3">
        <f t="shared" si="0"/>
        <v>288</v>
      </c>
      <c r="L26" s="3">
        <v>15</v>
      </c>
      <c r="M26" s="3">
        <f t="shared" si="1"/>
        <v>4320</v>
      </c>
      <c r="N26" s="1">
        <f t="shared" si="2"/>
        <v>32400</v>
      </c>
      <c r="O26" s="1">
        <f t="shared" si="3"/>
        <v>64800</v>
      </c>
      <c r="P26" s="1">
        <f t="shared" si="4"/>
        <v>97200</v>
      </c>
      <c r="Q26" s="1">
        <f t="shared" si="5"/>
        <v>129600</v>
      </c>
      <c r="R26" s="1">
        <f t="shared" si="6"/>
        <v>162000</v>
      </c>
      <c r="S26" s="1">
        <f t="shared" si="7"/>
        <v>194400</v>
      </c>
      <c r="T26" s="3" t="s">
        <v>57</v>
      </c>
      <c r="U26" s="3" t="s">
        <v>89</v>
      </c>
    </row>
    <row r="27" spans="1:21" ht="25.5" x14ac:dyDescent="0.25">
      <c r="A27" s="3" t="s">
        <v>11</v>
      </c>
      <c r="B27" s="3" t="s">
        <v>13</v>
      </c>
      <c r="C27" s="3" t="s">
        <v>121</v>
      </c>
      <c r="D27" s="4" t="s">
        <v>10</v>
      </c>
      <c r="E27" s="4" t="s">
        <v>12</v>
      </c>
      <c r="F27" s="3" t="s">
        <v>155</v>
      </c>
      <c r="G27" s="3" t="s">
        <v>17</v>
      </c>
      <c r="H27" s="3" t="s">
        <v>134</v>
      </c>
      <c r="I27" s="3">
        <v>12</v>
      </c>
      <c r="J27" s="11" t="s">
        <v>136</v>
      </c>
      <c r="K27" s="3">
        <f t="shared" si="0"/>
        <v>288</v>
      </c>
      <c r="L27" s="3">
        <v>15</v>
      </c>
      <c r="M27" s="3">
        <f t="shared" si="1"/>
        <v>4320</v>
      </c>
      <c r="N27" s="1">
        <f t="shared" si="2"/>
        <v>32400</v>
      </c>
      <c r="O27" s="1">
        <f t="shared" si="3"/>
        <v>64800</v>
      </c>
      <c r="P27" s="1">
        <f t="shared" si="4"/>
        <v>97200</v>
      </c>
      <c r="Q27" s="1">
        <f t="shared" si="5"/>
        <v>129600</v>
      </c>
      <c r="R27" s="1">
        <f t="shared" si="6"/>
        <v>162000</v>
      </c>
      <c r="S27" s="1">
        <f t="shared" si="7"/>
        <v>194400</v>
      </c>
      <c r="T27" s="3" t="s">
        <v>58</v>
      </c>
      <c r="U27" s="3" t="s">
        <v>90</v>
      </c>
    </row>
    <row r="28" spans="1:21" ht="25.5" x14ac:dyDescent="0.25">
      <c r="A28" s="3" t="s">
        <v>11</v>
      </c>
      <c r="B28" s="3" t="s">
        <v>13</v>
      </c>
      <c r="C28" s="3" t="s">
        <v>77</v>
      </c>
      <c r="D28" s="4" t="s">
        <v>10</v>
      </c>
      <c r="E28" s="4" t="s">
        <v>12</v>
      </c>
      <c r="F28" s="3" t="s">
        <v>154</v>
      </c>
      <c r="G28" s="3" t="s">
        <v>17</v>
      </c>
      <c r="H28" s="3" t="s">
        <v>134</v>
      </c>
      <c r="I28" s="3">
        <v>12</v>
      </c>
      <c r="J28" s="11" t="s">
        <v>136</v>
      </c>
      <c r="K28" s="3">
        <f t="shared" si="0"/>
        <v>288</v>
      </c>
      <c r="L28" s="3">
        <v>15</v>
      </c>
      <c r="M28" s="3">
        <f t="shared" si="1"/>
        <v>4320</v>
      </c>
      <c r="N28" s="1">
        <f>1.5*M28*5</f>
        <v>32400</v>
      </c>
      <c r="O28" s="1">
        <f>1.5*M28*10</f>
        <v>64800</v>
      </c>
      <c r="P28" s="1">
        <f>1.5*M28*15</f>
        <v>97200</v>
      </c>
      <c r="Q28" s="1">
        <f>1.5*M28*20</f>
        <v>129600</v>
      </c>
      <c r="R28" s="1">
        <f>1.5*M28*25</f>
        <v>162000</v>
      </c>
      <c r="S28" s="1">
        <f>1.5*M28*30</f>
        <v>194400</v>
      </c>
      <c r="T28" s="3" t="s">
        <v>59</v>
      </c>
      <c r="U28" s="3" t="s">
        <v>70</v>
      </c>
    </row>
    <row r="29" spans="1:21" ht="25.5" x14ac:dyDescent="0.25">
      <c r="A29" s="3" t="s">
        <v>11</v>
      </c>
      <c r="B29" s="3" t="s">
        <v>13</v>
      </c>
      <c r="C29" s="3" t="s">
        <v>122</v>
      </c>
      <c r="D29" s="4" t="s">
        <v>10</v>
      </c>
      <c r="E29" s="4" t="s">
        <v>12</v>
      </c>
      <c r="F29" s="3" t="s">
        <v>153</v>
      </c>
      <c r="G29" s="3" t="s">
        <v>17</v>
      </c>
      <c r="H29" s="3" t="s">
        <v>134</v>
      </c>
      <c r="I29" s="3">
        <v>12</v>
      </c>
      <c r="J29" s="11" t="s">
        <v>136</v>
      </c>
      <c r="K29" s="3">
        <f t="shared" si="0"/>
        <v>288</v>
      </c>
      <c r="L29" s="3">
        <v>15</v>
      </c>
      <c r="M29" s="3">
        <f t="shared" si="1"/>
        <v>4320</v>
      </c>
      <c r="N29" s="1">
        <f t="shared" ref="N29:N30" si="8">1.5*M29*5</f>
        <v>32400</v>
      </c>
      <c r="O29" s="1">
        <f t="shared" ref="O29:O30" si="9">1.5*M29*10</f>
        <v>64800</v>
      </c>
      <c r="P29" s="1">
        <f t="shared" ref="P29:P30" si="10">1.5*M29*15</f>
        <v>97200</v>
      </c>
      <c r="Q29" s="1">
        <f t="shared" ref="Q29:Q30" si="11">1.5*M29*20</f>
        <v>129600</v>
      </c>
      <c r="R29" s="1">
        <f t="shared" ref="R29:R30" si="12">1.5*M29*25</f>
        <v>162000</v>
      </c>
      <c r="S29" s="1">
        <f t="shared" ref="S29:S30" si="13">1.5*M29*30</f>
        <v>194400</v>
      </c>
      <c r="T29" s="3" t="s">
        <v>60</v>
      </c>
      <c r="U29" s="3" t="s">
        <v>91</v>
      </c>
    </row>
    <row r="30" spans="1:21" ht="25.5" x14ac:dyDescent="0.25">
      <c r="A30" s="3" t="s">
        <v>11</v>
      </c>
      <c r="B30" s="3" t="s">
        <v>13</v>
      </c>
      <c r="C30" s="3" t="s">
        <v>123</v>
      </c>
      <c r="D30" s="3" t="s">
        <v>10</v>
      </c>
      <c r="E30" s="4" t="s">
        <v>12</v>
      </c>
      <c r="F30" s="3" t="s">
        <v>152</v>
      </c>
      <c r="G30" s="3" t="s">
        <v>17</v>
      </c>
      <c r="H30" s="3" t="s">
        <v>134</v>
      </c>
      <c r="I30" s="3">
        <v>12</v>
      </c>
      <c r="J30" s="11" t="s">
        <v>136</v>
      </c>
      <c r="K30" s="3">
        <f t="shared" si="0"/>
        <v>288</v>
      </c>
      <c r="L30" s="3">
        <v>15</v>
      </c>
      <c r="M30" s="3">
        <f t="shared" si="1"/>
        <v>4320</v>
      </c>
      <c r="N30" s="1">
        <f t="shared" si="8"/>
        <v>32400</v>
      </c>
      <c r="O30" s="1">
        <f t="shared" si="9"/>
        <v>64800</v>
      </c>
      <c r="P30" s="1">
        <f t="shared" si="10"/>
        <v>97200</v>
      </c>
      <c r="Q30" s="1">
        <f t="shared" si="11"/>
        <v>129600</v>
      </c>
      <c r="R30" s="1">
        <f t="shared" si="12"/>
        <v>162000</v>
      </c>
      <c r="S30" s="1">
        <f t="shared" si="13"/>
        <v>194400</v>
      </c>
      <c r="T30" s="3" t="s">
        <v>61</v>
      </c>
      <c r="U30" s="3" t="s">
        <v>92</v>
      </c>
    </row>
    <row r="31" spans="1:21" ht="25.5" x14ac:dyDescent="0.25">
      <c r="A31" s="3" t="s">
        <v>11</v>
      </c>
      <c r="B31" s="3" t="s">
        <v>13</v>
      </c>
      <c r="C31" s="3" t="s">
        <v>124</v>
      </c>
      <c r="D31" s="4" t="s">
        <v>10</v>
      </c>
      <c r="E31" s="4" t="s">
        <v>12</v>
      </c>
      <c r="F31" s="3" t="s">
        <v>151</v>
      </c>
      <c r="G31" s="3" t="s">
        <v>17</v>
      </c>
      <c r="H31" s="3" t="s">
        <v>134</v>
      </c>
      <c r="I31" s="3">
        <v>12</v>
      </c>
      <c r="J31" s="3" t="s">
        <v>138</v>
      </c>
      <c r="K31" s="3">
        <f t="shared" ref="K31:K32" si="14">16*I31</f>
        <v>192</v>
      </c>
      <c r="L31" s="3">
        <v>15</v>
      </c>
      <c r="M31" s="3">
        <f t="shared" si="1"/>
        <v>2880</v>
      </c>
      <c r="N31" s="1">
        <f>1.9*M31*5</f>
        <v>27360</v>
      </c>
      <c r="O31" s="1">
        <f>1.9*M31*10</f>
        <v>54720</v>
      </c>
      <c r="P31" s="1">
        <f>1.9*M31*15</f>
        <v>82080</v>
      </c>
      <c r="Q31" s="1">
        <f>1.9*M31*20</f>
        <v>109440</v>
      </c>
      <c r="R31" s="1">
        <f>1.9*M31*25</f>
        <v>136800</v>
      </c>
      <c r="S31" s="1">
        <f>1.9*M31*30</f>
        <v>164160</v>
      </c>
      <c r="T31" s="3" t="s">
        <v>62</v>
      </c>
      <c r="U31" s="3" t="s">
        <v>93</v>
      </c>
    </row>
    <row r="32" spans="1:21" ht="25.5" x14ac:dyDescent="0.25">
      <c r="A32" s="3" t="s">
        <v>11</v>
      </c>
      <c r="B32" s="3" t="s">
        <v>13</v>
      </c>
      <c r="C32" s="3" t="s">
        <v>125</v>
      </c>
      <c r="D32" s="4" t="s">
        <v>10</v>
      </c>
      <c r="E32" s="4" t="s">
        <v>12</v>
      </c>
      <c r="F32" s="3" t="s">
        <v>150</v>
      </c>
      <c r="G32" s="3" t="s">
        <v>17</v>
      </c>
      <c r="H32" s="3" t="s">
        <v>134</v>
      </c>
      <c r="I32" s="3">
        <v>12</v>
      </c>
      <c r="J32" s="3" t="s">
        <v>138</v>
      </c>
      <c r="K32" s="3">
        <f t="shared" si="14"/>
        <v>192</v>
      </c>
      <c r="L32" s="3">
        <v>15</v>
      </c>
      <c r="M32" s="3">
        <f t="shared" si="1"/>
        <v>2880</v>
      </c>
      <c r="N32" s="1">
        <f>1.9*M32*5</f>
        <v>27360</v>
      </c>
      <c r="O32" s="1">
        <f>1.9*M32*10</f>
        <v>54720</v>
      </c>
      <c r="P32" s="1">
        <f>1.9*M32*15</f>
        <v>82080</v>
      </c>
      <c r="Q32" s="1">
        <f>1.9*M32*20</f>
        <v>109440</v>
      </c>
      <c r="R32" s="1">
        <f>1.9*M32*25</f>
        <v>136800</v>
      </c>
      <c r="S32" s="1">
        <f>1.9*M32*30</f>
        <v>164160</v>
      </c>
      <c r="T32" s="3" t="s">
        <v>63</v>
      </c>
      <c r="U32" s="3" t="s">
        <v>94</v>
      </c>
    </row>
    <row r="33" spans="1:21" ht="25.5" x14ac:dyDescent="0.25">
      <c r="A33" s="3" t="s">
        <v>11</v>
      </c>
      <c r="B33" s="3" t="s">
        <v>13</v>
      </c>
      <c r="C33" s="3" t="s">
        <v>30</v>
      </c>
      <c r="D33" s="4" t="s">
        <v>10</v>
      </c>
      <c r="E33" s="4" t="s">
        <v>12</v>
      </c>
      <c r="F33" s="3" t="s">
        <v>149</v>
      </c>
      <c r="G33" s="3" t="s">
        <v>17</v>
      </c>
      <c r="H33" s="3" t="s">
        <v>134</v>
      </c>
      <c r="I33" s="3">
        <v>12</v>
      </c>
      <c r="J33" s="3" t="s">
        <v>138</v>
      </c>
      <c r="K33" s="3">
        <f>12*I33</f>
        <v>144</v>
      </c>
      <c r="L33" s="3">
        <v>15</v>
      </c>
      <c r="M33" s="3">
        <f t="shared" si="1"/>
        <v>2160</v>
      </c>
      <c r="N33" s="1">
        <f>1.9*M33*5</f>
        <v>20520</v>
      </c>
      <c r="O33" s="1">
        <f>1.9*M33*10</f>
        <v>41040</v>
      </c>
      <c r="P33" s="1">
        <f>1.9*M33*15</f>
        <v>61560</v>
      </c>
      <c r="Q33" s="1">
        <f>1.9*M33*20</f>
        <v>82080</v>
      </c>
      <c r="R33" s="1">
        <f>1.9*M33*25</f>
        <v>102600</v>
      </c>
      <c r="S33" s="1">
        <f>1.9*M33*30</f>
        <v>123120</v>
      </c>
      <c r="T33" s="3" t="s">
        <v>64</v>
      </c>
      <c r="U33" s="3" t="s">
        <v>95</v>
      </c>
    </row>
    <row r="34" spans="1:21" ht="25.5" x14ac:dyDescent="0.25">
      <c r="A34" s="3" t="s">
        <v>11</v>
      </c>
      <c r="B34" s="3" t="s">
        <v>13</v>
      </c>
      <c r="C34" s="3" t="s">
        <v>126</v>
      </c>
      <c r="D34" s="4" t="s">
        <v>10</v>
      </c>
      <c r="E34" s="4" t="s">
        <v>12</v>
      </c>
      <c r="F34" s="3" t="s">
        <v>148</v>
      </c>
      <c r="G34" s="3" t="s">
        <v>17</v>
      </c>
      <c r="H34" s="3" t="s">
        <v>134</v>
      </c>
      <c r="I34" s="3">
        <v>12</v>
      </c>
      <c r="J34" s="3" t="s">
        <v>139</v>
      </c>
      <c r="K34" s="3">
        <f>10*I34</f>
        <v>120</v>
      </c>
      <c r="L34" s="3">
        <v>15</v>
      </c>
      <c r="M34" s="3">
        <f t="shared" si="1"/>
        <v>1800</v>
      </c>
      <c r="N34" s="1">
        <f>3*M34*5</f>
        <v>27000</v>
      </c>
      <c r="O34" s="1">
        <f>3*M34*10</f>
        <v>54000</v>
      </c>
      <c r="P34" s="1">
        <f>3*M34*15</f>
        <v>81000</v>
      </c>
      <c r="Q34" s="1">
        <f>3*M34*20</f>
        <v>108000</v>
      </c>
      <c r="R34" s="1">
        <f>3*M34*25</f>
        <v>135000</v>
      </c>
      <c r="S34" s="1">
        <f>3*M34*30</f>
        <v>162000</v>
      </c>
      <c r="T34" s="3" t="s">
        <v>65</v>
      </c>
      <c r="U34" s="3" t="s">
        <v>96</v>
      </c>
    </row>
    <row r="35" spans="1:21" ht="25.5" x14ac:dyDescent="0.25">
      <c r="A35" s="3" t="s">
        <v>11</v>
      </c>
      <c r="B35" s="3" t="s">
        <v>13</v>
      </c>
      <c r="C35" s="3" t="s">
        <v>31</v>
      </c>
      <c r="D35" s="4" t="s">
        <v>10</v>
      </c>
      <c r="E35" s="4" t="s">
        <v>12</v>
      </c>
      <c r="F35" s="3" t="s">
        <v>147</v>
      </c>
      <c r="G35" s="3" t="s">
        <v>17</v>
      </c>
      <c r="H35" s="3" t="s">
        <v>134</v>
      </c>
      <c r="I35" s="3">
        <v>12</v>
      </c>
      <c r="J35" s="3" t="s">
        <v>140</v>
      </c>
      <c r="K35" s="3">
        <f t="shared" ref="K35:K39" si="15">24*I35</f>
        <v>288</v>
      </c>
      <c r="L35" s="3">
        <v>15</v>
      </c>
      <c r="M35" s="3">
        <f t="shared" si="1"/>
        <v>4320</v>
      </c>
      <c r="N35" s="1">
        <f>7.5*M35*5</f>
        <v>162000</v>
      </c>
      <c r="O35" s="1">
        <f>7.5*M35*10</f>
        <v>324000</v>
      </c>
      <c r="P35" s="1">
        <f>7.5*M35*15</f>
        <v>486000</v>
      </c>
      <c r="Q35" s="1">
        <f>7.5*M35*20</f>
        <v>648000</v>
      </c>
      <c r="R35" s="1">
        <f>7.5*M35*25</f>
        <v>810000</v>
      </c>
      <c r="S35" s="1">
        <f>7.5*M35*30</f>
        <v>972000</v>
      </c>
      <c r="T35" s="3" t="s">
        <v>66</v>
      </c>
      <c r="U35" s="3" t="s">
        <v>98</v>
      </c>
    </row>
    <row r="36" spans="1:21" ht="25.5" x14ac:dyDescent="0.25">
      <c r="A36" s="3" t="s">
        <v>11</v>
      </c>
      <c r="B36" s="3" t="s">
        <v>13</v>
      </c>
      <c r="C36" s="3" t="s">
        <v>127</v>
      </c>
      <c r="D36" s="4" t="s">
        <v>10</v>
      </c>
      <c r="E36" s="4" t="s">
        <v>12</v>
      </c>
      <c r="F36" s="3" t="s">
        <v>146</v>
      </c>
      <c r="G36" s="3" t="s">
        <v>17</v>
      </c>
      <c r="H36" s="3" t="s">
        <v>134</v>
      </c>
      <c r="I36" s="3">
        <v>12</v>
      </c>
      <c r="J36" s="11" t="s">
        <v>136</v>
      </c>
      <c r="K36" s="3">
        <f t="shared" si="15"/>
        <v>288</v>
      </c>
      <c r="L36" s="3">
        <v>15</v>
      </c>
      <c r="M36" s="3">
        <f t="shared" si="1"/>
        <v>4320</v>
      </c>
      <c r="N36" s="1">
        <f>1.5*M36*5</f>
        <v>32400</v>
      </c>
      <c r="O36" s="1">
        <f>1.5*M36*10</f>
        <v>64800</v>
      </c>
      <c r="P36" s="1">
        <f>1.5*M36*15</f>
        <v>97200</v>
      </c>
      <c r="Q36" s="1">
        <f>1.5*M36*20</f>
        <v>129600</v>
      </c>
      <c r="R36" s="1">
        <f>1.5*M36*25</f>
        <v>162000</v>
      </c>
      <c r="S36" s="1">
        <f>1.5*M36*30</f>
        <v>194400</v>
      </c>
      <c r="T36" s="3" t="s">
        <v>67</v>
      </c>
      <c r="U36" s="3" t="s">
        <v>97</v>
      </c>
    </row>
    <row r="37" spans="1:21" ht="25.5" x14ac:dyDescent="0.25">
      <c r="A37" s="3" t="s">
        <v>11</v>
      </c>
      <c r="B37" s="3" t="s">
        <v>13</v>
      </c>
      <c r="C37" s="3" t="s">
        <v>128</v>
      </c>
      <c r="D37" s="4" t="s">
        <v>10</v>
      </c>
      <c r="E37" s="4" t="s">
        <v>12</v>
      </c>
      <c r="F37" s="3" t="s">
        <v>146</v>
      </c>
      <c r="G37" s="3" t="s">
        <v>17</v>
      </c>
      <c r="H37" s="3" t="s">
        <v>134</v>
      </c>
      <c r="I37" s="3">
        <v>12</v>
      </c>
      <c r="J37" s="11" t="s">
        <v>136</v>
      </c>
      <c r="K37" s="3">
        <f t="shared" si="15"/>
        <v>288</v>
      </c>
      <c r="L37" s="3">
        <v>15</v>
      </c>
      <c r="M37" s="3">
        <f t="shared" si="1"/>
        <v>4320</v>
      </c>
      <c r="N37" s="1"/>
      <c r="O37" s="1"/>
      <c r="P37" s="1"/>
      <c r="Q37" s="1"/>
      <c r="R37" s="1"/>
      <c r="S37" s="1"/>
      <c r="T37" s="3" t="s">
        <v>68</v>
      </c>
      <c r="U37" s="3" t="s">
        <v>99</v>
      </c>
    </row>
    <row r="38" spans="1:21" ht="25.5" x14ac:dyDescent="0.25">
      <c r="A38" s="3" t="s">
        <v>11</v>
      </c>
      <c r="B38" s="3" t="s">
        <v>13</v>
      </c>
      <c r="C38" s="3" t="s">
        <v>180</v>
      </c>
      <c r="D38" s="4" t="s">
        <v>10</v>
      </c>
      <c r="E38" s="4" t="s">
        <v>12</v>
      </c>
      <c r="F38" s="3" t="s">
        <v>145</v>
      </c>
      <c r="G38" s="3" t="s">
        <v>22</v>
      </c>
      <c r="H38" s="3" t="s">
        <v>134</v>
      </c>
      <c r="I38" s="3">
        <v>12</v>
      </c>
      <c r="J38" s="11" t="s">
        <v>136</v>
      </c>
      <c r="K38" s="3">
        <f t="shared" si="15"/>
        <v>288</v>
      </c>
      <c r="L38" s="3">
        <v>15</v>
      </c>
      <c r="M38" s="3">
        <f t="shared" si="1"/>
        <v>4320</v>
      </c>
      <c r="N38" s="1">
        <f>6.9*M38*5</f>
        <v>149040</v>
      </c>
      <c r="O38" s="1">
        <f>6.9*M38*10</f>
        <v>298080</v>
      </c>
      <c r="P38" s="1">
        <f>6.9*M38*15</f>
        <v>447120</v>
      </c>
      <c r="Q38" s="1">
        <f>6.9*M38*20</f>
        <v>596160</v>
      </c>
      <c r="R38" s="1">
        <f>6.9*M38*25</f>
        <v>745200</v>
      </c>
      <c r="S38" s="1">
        <f>6.9*M38*30</f>
        <v>894240</v>
      </c>
      <c r="T38" s="3" t="s">
        <v>69</v>
      </c>
      <c r="U38" s="3" t="s">
        <v>100</v>
      </c>
    </row>
    <row r="39" spans="1:21" ht="25.5" x14ac:dyDescent="0.25">
      <c r="A39" s="3" t="s">
        <v>11</v>
      </c>
      <c r="B39" s="3" t="s">
        <v>13</v>
      </c>
      <c r="C39" s="3" t="s">
        <v>131</v>
      </c>
      <c r="D39" s="4" t="s">
        <v>10</v>
      </c>
      <c r="E39" s="4" t="s">
        <v>12</v>
      </c>
      <c r="F39" s="3" t="s">
        <v>129</v>
      </c>
      <c r="G39" s="3" t="s">
        <v>17</v>
      </c>
      <c r="H39" s="3" t="s">
        <v>134</v>
      </c>
      <c r="I39" s="3">
        <v>12</v>
      </c>
      <c r="J39" s="11" t="s">
        <v>136</v>
      </c>
      <c r="K39" s="3">
        <f t="shared" si="15"/>
        <v>288</v>
      </c>
      <c r="L39" s="3">
        <v>15</v>
      </c>
      <c r="M39" s="3">
        <f t="shared" si="1"/>
        <v>4320</v>
      </c>
      <c r="N39" s="1">
        <f>6.9*M39*5</f>
        <v>149040</v>
      </c>
      <c r="O39" s="1">
        <f>6.9*M39*10</f>
        <v>298080</v>
      </c>
      <c r="P39" s="1">
        <f>6.9*M39*15</f>
        <v>447120</v>
      </c>
      <c r="Q39" s="1">
        <f>6.9*M39*20</f>
        <v>596160</v>
      </c>
      <c r="R39" s="1">
        <f>6.9*M39*25</f>
        <v>745200</v>
      </c>
      <c r="S39" s="1">
        <f>6.9*M39*30</f>
        <v>894240</v>
      </c>
      <c r="T39" s="3" t="s">
        <v>130</v>
      </c>
      <c r="U39" s="3" t="s">
        <v>132</v>
      </c>
    </row>
    <row r="40" spans="1:21" ht="25.5" x14ac:dyDescent="0.25">
      <c r="A40" s="3" t="s">
        <v>11</v>
      </c>
      <c r="B40" s="3" t="s">
        <v>13</v>
      </c>
      <c r="C40" s="3" t="s">
        <v>141</v>
      </c>
      <c r="D40" s="4" t="s">
        <v>10</v>
      </c>
      <c r="E40" s="4" t="s">
        <v>12</v>
      </c>
      <c r="F40" s="3" t="s">
        <v>143</v>
      </c>
      <c r="G40" s="3" t="s">
        <v>17</v>
      </c>
      <c r="H40" s="3" t="s">
        <v>134</v>
      </c>
      <c r="I40" s="3">
        <v>12</v>
      </c>
      <c r="J40" s="11" t="s">
        <v>136</v>
      </c>
      <c r="K40" s="3">
        <f t="shared" ref="K40" si="16">24*I40</f>
        <v>288</v>
      </c>
      <c r="L40" s="3">
        <v>15</v>
      </c>
      <c r="M40" s="3">
        <f t="shared" ref="M40:M43" si="17">L40*K40</f>
        <v>4320</v>
      </c>
      <c r="N40" s="1">
        <f>1.5*M40*5</f>
        <v>32400</v>
      </c>
      <c r="O40" s="1">
        <f>1.5*M40*10</f>
        <v>64800</v>
      </c>
      <c r="P40" s="1">
        <f>1.5*M40*15</f>
        <v>97200</v>
      </c>
      <c r="Q40" s="1">
        <f>1.5*M40*20</f>
        <v>129600</v>
      </c>
      <c r="R40" s="1">
        <f>1.5*M40*25</f>
        <v>162000</v>
      </c>
      <c r="S40" s="1">
        <f>1.5*M40*30</f>
        <v>194400</v>
      </c>
      <c r="T40" s="3" t="s">
        <v>170</v>
      </c>
      <c r="U40" s="3" t="s">
        <v>172</v>
      </c>
    </row>
    <row r="41" spans="1:21" ht="25.5" x14ac:dyDescent="0.25">
      <c r="A41" s="3" t="s">
        <v>11</v>
      </c>
      <c r="B41" s="3" t="s">
        <v>13</v>
      </c>
      <c r="C41" s="3" t="s">
        <v>142</v>
      </c>
      <c r="D41" s="4" t="s">
        <v>10</v>
      </c>
      <c r="E41" s="4" t="s">
        <v>12</v>
      </c>
      <c r="F41" s="3" t="s">
        <v>144</v>
      </c>
      <c r="G41" s="3" t="s">
        <v>17</v>
      </c>
      <c r="H41" s="3" t="s">
        <v>134</v>
      </c>
      <c r="I41" s="3">
        <v>12</v>
      </c>
      <c r="J41" s="11" t="s">
        <v>136</v>
      </c>
      <c r="K41" s="3">
        <f>17*I41</f>
        <v>204</v>
      </c>
      <c r="L41" s="3">
        <v>15</v>
      </c>
      <c r="M41" s="3">
        <f t="shared" si="17"/>
        <v>3060</v>
      </c>
      <c r="N41" s="1">
        <f>4.5*M41*5</f>
        <v>68850</v>
      </c>
      <c r="O41" s="1">
        <f>4.5*M41*10</f>
        <v>137700</v>
      </c>
      <c r="P41" s="1">
        <f>4.5*M41*15</f>
        <v>206550</v>
      </c>
      <c r="Q41" s="1">
        <f>4.5*M41*20</f>
        <v>275400</v>
      </c>
      <c r="R41" s="1">
        <f>4.5*M41*25</f>
        <v>344250</v>
      </c>
      <c r="S41" s="1">
        <f>4.5*M41*30</f>
        <v>413100</v>
      </c>
      <c r="T41" s="3" t="s">
        <v>171</v>
      </c>
      <c r="U41" s="3" t="s">
        <v>173</v>
      </c>
    </row>
    <row r="42" spans="1:21" ht="25.5" x14ac:dyDescent="0.25">
      <c r="A42" s="3" t="s">
        <v>11</v>
      </c>
      <c r="B42" s="3" t="s">
        <v>13</v>
      </c>
      <c r="C42" s="3" t="s">
        <v>181</v>
      </c>
      <c r="D42" s="4" t="s">
        <v>10</v>
      </c>
      <c r="E42" s="4" t="s">
        <v>12</v>
      </c>
      <c r="F42" s="3" t="s">
        <v>182</v>
      </c>
      <c r="G42" s="3" t="s">
        <v>17</v>
      </c>
      <c r="H42" s="3" t="s">
        <v>134</v>
      </c>
      <c r="I42" s="3">
        <v>12</v>
      </c>
      <c r="J42" s="11" t="s">
        <v>136</v>
      </c>
      <c r="K42" s="3">
        <f t="shared" ref="K42:K47" si="18">24*I42</f>
        <v>288</v>
      </c>
      <c r="L42" s="3">
        <v>15</v>
      </c>
      <c r="M42" s="3">
        <f t="shared" si="17"/>
        <v>4320</v>
      </c>
      <c r="N42" s="1">
        <f>1.5*M42*5</f>
        <v>32400</v>
      </c>
      <c r="O42" s="1">
        <f>1.5*M42*10</f>
        <v>64800</v>
      </c>
      <c r="P42" s="1">
        <f>1.5*M42*15</f>
        <v>97200</v>
      </c>
      <c r="Q42" s="1">
        <f>1.5*M42*20</f>
        <v>129600</v>
      </c>
      <c r="R42" s="1">
        <f>1.5*M42*25</f>
        <v>162000</v>
      </c>
      <c r="S42" s="1">
        <f>1.5*M42*30</f>
        <v>194400</v>
      </c>
      <c r="T42" s="3" t="s">
        <v>183</v>
      </c>
      <c r="U42" s="3" t="s">
        <v>184</v>
      </c>
    </row>
    <row r="43" spans="1:21" ht="25.5" x14ac:dyDescent="0.25">
      <c r="A43" s="3" t="s">
        <v>11</v>
      </c>
      <c r="B43" s="3" t="s">
        <v>13</v>
      </c>
      <c r="C43" s="3" t="s">
        <v>185</v>
      </c>
      <c r="D43" s="4" t="s">
        <v>10</v>
      </c>
      <c r="E43" s="4" t="s">
        <v>12</v>
      </c>
      <c r="F43" s="3" t="s">
        <v>186</v>
      </c>
      <c r="G43" s="3" t="s">
        <v>17</v>
      </c>
      <c r="H43" s="3" t="s">
        <v>134</v>
      </c>
      <c r="I43" s="3">
        <v>12</v>
      </c>
      <c r="J43" s="11" t="s">
        <v>136</v>
      </c>
      <c r="K43" s="3">
        <f t="shared" si="18"/>
        <v>288</v>
      </c>
      <c r="L43" s="3">
        <v>15</v>
      </c>
      <c r="M43" s="3">
        <f t="shared" si="17"/>
        <v>4320</v>
      </c>
      <c r="N43" s="1">
        <f>1.5*M43*5</f>
        <v>32400</v>
      </c>
      <c r="O43" s="1">
        <f>1.5*M43*10</f>
        <v>64800</v>
      </c>
      <c r="P43" s="1">
        <f>1.5*M43*15</f>
        <v>97200</v>
      </c>
      <c r="Q43" s="1">
        <f>1.5*M43*20</f>
        <v>129600</v>
      </c>
      <c r="R43" s="1">
        <f>1.5*M43*25</f>
        <v>162000</v>
      </c>
      <c r="S43" s="1">
        <f>1.5*M43*30</f>
        <v>194400</v>
      </c>
      <c r="T43" s="3" t="s">
        <v>187</v>
      </c>
      <c r="U43" s="3" t="s">
        <v>188</v>
      </c>
    </row>
    <row r="44" spans="1:21" ht="25.5" x14ac:dyDescent="0.25">
      <c r="A44" s="3" t="s">
        <v>11</v>
      </c>
      <c r="B44" s="3" t="s">
        <v>13</v>
      </c>
      <c r="C44" s="3" t="s">
        <v>189</v>
      </c>
      <c r="D44" s="4" t="s">
        <v>10</v>
      </c>
      <c r="E44" s="4" t="s">
        <v>12</v>
      </c>
      <c r="F44" s="3" t="s">
        <v>190</v>
      </c>
      <c r="G44" s="3" t="s">
        <v>17</v>
      </c>
      <c r="H44" s="3" t="s">
        <v>134</v>
      </c>
      <c r="I44" s="3">
        <v>12</v>
      </c>
      <c r="J44" s="11" t="s">
        <v>136</v>
      </c>
      <c r="K44" s="3">
        <f t="shared" si="18"/>
        <v>288</v>
      </c>
      <c r="L44" s="3">
        <v>15</v>
      </c>
      <c r="M44" s="3">
        <f t="shared" ref="M44" si="19">L44*K44</f>
        <v>4320</v>
      </c>
      <c r="N44" s="1">
        <f>4*M44*5</f>
        <v>86400</v>
      </c>
      <c r="O44" s="1">
        <f>4*M44*10</f>
        <v>172800</v>
      </c>
      <c r="P44" s="1">
        <f>4*M44*15</f>
        <v>259200</v>
      </c>
      <c r="Q44" s="1">
        <f>4*M44*20</f>
        <v>345600</v>
      </c>
      <c r="R44" s="1">
        <f>4*M44*25</f>
        <v>432000</v>
      </c>
      <c r="S44" s="1">
        <f>4*M44*30</f>
        <v>518400</v>
      </c>
      <c r="T44" s="3" t="s">
        <v>192</v>
      </c>
      <c r="U44" s="3" t="s">
        <v>191</v>
      </c>
    </row>
    <row r="45" spans="1:21" ht="38.25" x14ac:dyDescent="0.25">
      <c r="A45" s="3" t="s">
        <v>11</v>
      </c>
      <c r="B45" s="3" t="s">
        <v>13</v>
      </c>
      <c r="C45" s="3" t="s">
        <v>193</v>
      </c>
      <c r="D45" s="4" t="s">
        <v>10</v>
      </c>
      <c r="E45" s="4" t="s">
        <v>12</v>
      </c>
      <c r="F45" s="3" t="s">
        <v>144</v>
      </c>
      <c r="G45" s="3" t="s">
        <v>17</v>
      </c>
      <c r="H45" s="3" t="s">
        <v>134</v>
      </c>
      <c r="I45" s="3">
        <v>12</v>
      </c>
      <c r="J45" s="11" t="s">
        <v>136</v>
      </c>
      <c r="K45" s="3">
        <f t="shared" si="18"/>
        <v>288</v>
      </c>
      <c r="L45" s="3">
        <v>15</v>
      </c>
      <c r="M45" s="3">
        <f t="shared" ref="M45" si="20">L45*K45</f>
        <v>4320</v>
      </c>
      <c r="N45" s="1">
        <f>2.5*M45*5</f>
        <v>54000</v>
      </c>
      <c r="O45" s="1">
        <f>2.5*M45*10</f>
        <v>108000</v>
      </c>
      <c r="P45" s="1">
        <f>2.5*M45*15</f>
        <v>162000</v>
      </c>
      <c r="Q45" s="1">
        <f>2.5*M45*20</f>
        <v>216000</v>
      </c>
      <c r="R45" s="1">
        <f>2.5*M45*25</f>
        <v>270000</v>
      </c>
      <c r="S45" s="1">
        <f>2.5*M45*30</f>
        <v>324000</v>
      </c>
      <c r="T45" s="3" t="s">
        <v>195</v>
      </c>
      <c r="U45" s="3" t="s">
        <v>194</v>
      </c>
    </row>
    <row r="46" spans="1:21" ht="25.5" x14ac:dyDescent="0.25">
      <c r="A46" s="3" t="s">
        <v>11</v>
      </c>
      <c r="B46" s="3" t="s">
        <v>13</v>
      </c>
      <c r="C46" s="9" t="s">
        <v>196</v>
      </c>
      <c r="D46" s="4" t="s">
        <v>10</v>
      </c>
      <c r="E46" s="4" t="s">
        <v>12</v>
      </c>
      <c r="F46" s="3" t="s">
        <v>197</v>
      </c>
      <c r="G46" s="3" t="s">
        <v>17</v>
      </c>
      <c r="H46" s="3" t="s">
        <v>134</v>
      </c>
      <c r="I46" s="3">
        <v>12</v>
      </c>
      <c r="J46" s="11" t="s">
        <v>136</v>
      </c>
      <c r="K46" s="3">
        <f t="shared" si="18"/>
        <v>288</v>
      </c>
      <c r="L46" s="3">
        <v>15</v>
      </c>
      <c r="M46" s="3">
        <f t="shared" ref="M46:M47" si="21">L46*K46</f>
        <v>4320</v>
      </c>
      <c r="N46" s="1">
        <f>2.7*M46*5</f>
        <v>58320</v>
      </c>
      <c r="O46" s="1">
        <f>2.7*M46*10</f>
        <v>116640</v>
      </c>
      <c r="P46" s="1">
        <f>2.7*M46*15</f>
        <v>174960</v>
      </c>
      <c r="Q46" s="1">
        <f>2.7*M46*20</f>
        <v>233280</v>
      </c>
      <c r="R46" s="1">
        <f>2.7*M46*25</f>
        <v>291600</v>
      </c>
      <c r="S46" s="1">
        <f>2.7*M46*30</f>
        <v>349920</v>
      </c>
      <c r="T46" s="3" t="s">
        <v>199</v>
      </c>
      <c r="U46" s="3" t="s">
        <v>198</v>
      </c>
    </row>
    <row r="47" spans="1:21" ht="25.5" x14ac:dyDescent="0.25">
      <c r="A47" s="3" t="s">
        <v>11</v>
      </c>
      <c r="B47" s="3" t="s">
        <v>13</v>
      </c>
      <c r="C47" s="10" t="s">
        <v>200</v>
      </c>
      <c r="D47" s="12" t="s">
        <v>10</v>
      </c>
      <c r="E47" s="12" t="s">
        <v>12</v>
      </c>
      <c r="F47" s="10" t="s">
        <v>201</v>
      </c>
      <c r="G47" s="3" t="s">
        <v>17</v>
      </c>
      <c r="H47" s="3" t="s">
        <v>134</v>
      </c>
      <c r="I47" s="10">
        <v>30</v>
      </c>
      <c r="J47" s="11"/>
      <c r="K47" s="10">
        <f t="shared" si="18"/>
        <v>720</v>
      </c>
      <c r="L47" s="3">
        <v>15</v>
      </c>
      <c r="M47" s="3">
        <f t="shared" si="21"/>
        <v>10800</v>
      </c>
      <c r="N47" s="1">
        <f>0.35*M47*5</f>
        <v>18899.999999999996</v>
      </c>
      <c r="O47" s="1">
        <f>0.35*M47*10</f>
        <v>37799.999999999993</v>
      </c>
      <c r="P47" s="1">
        <f>0.35*M47*15</f>
        <v>56699.999999999993</v>
      </c>
      <c r="Q47" s="1">
        <f>0.35*M47*20</f>
        <v>75599.999999999985</v>
      </c>
      <c r="R47" s="1">
        <f>0.35*M47*25</f>
        <v>94499.999999999985</v>
      </c>
      <c r="S47" s="1">
        <f>0.35*M47*30</f>
        <v>113399.99999999999</v>
      </c>
      <c r="T47" s="3" t="s">
        <v>203</v>
      </c>
      <c r="U47" s="1" t="s">
        <v>202</v>
      </c>
    </row>
  </sheetData>
  <autoFilter ref="A1:U45"/>
  <hyperlinks>
    <hyperlink ref="D2" r:id="rId1"/>
    <hyperlink ref="E2" r:id="rId2"/>
    <hyperlink ref="E3" r:id="rId3"/>
    <hyperlink ref="D3" r:id="rId4"/>
    <hyperlink ref="E4" r:id="rId5"/>
    <hyperlink ref="E5" r:id="rId6"/>
    <hyperlink ref="E6" r:id="rId7"/>
    <hyperlink ref="E7" r:id="rId8"/>
    <hyperlink ref="E8" r:id="rId9"/>
    <hyperlink ref="E9" r:id="rId10"/>
    <hyperlink ref="E10" r:id="rId11"/>
    <hyperlink ref="E11" r:id="rId12"/>
    <hyperlink ref="E12" r:id="rId13"/>
    <hyperlink ref="E13" r:id="rId14"/>
    <hyperlink ref="E14" r:id="rId15"/>
    <hyperlink ref="E15" r:id="rId16"/>
    <hyperlink ref="E16" r:id="rId17"/>
    <hyperlink ref="E17" r:id="rId18"/>
    <hyperlink ref="E18" r:id="rId19"/>
    <hyperlink ref="E19" r:id="rId20"/>
    <hyperlink ref="E20" r:id="rId21"/>
    <hyperlink ref="E21" r:id="rId22"/>
    <hyperlink ref="E22" r:id="rId23"/>
    <hyperlink ref="E23" r:id="rId24"/>
    <hyperlink ref="E24" r:id="rId25"/>
    <hyperlink ref="E25" r:id="rId26"/>
    <hyperlink ref="E26" r:id="rId27"/>
    <hyperlink ref="E27" r:id="rId28"/>
    <hyperlink ref="E28" r:id="rId29"/>
    <hyperlink ref="E29" r:id="rId30"/>
    <hyperlink ref="E30" r:id="rId31"/>
    <hyperlink ref="E31" r:id="rId32"/>
    <hyperlink ref="E32" r:id="rId33"/>
    <hyperlink ref="E33" r:id="rId34"/>
    <hyperlink ref="E34" r:id="rId35"/>
    <hyperlink ref="E35" r:id="rId36"/>
    <hyperlink ref="E37" r:id="rId37"/>
    <hyperlink ref="E36" r:id="rId38"/>
    <hyperlink ref="E38" r:id="rId39"/>
    <hyperlink ref="D11" r:id="rId40"/>
    <hyperlink ref="D12" r:id="rId41"/>
    <hyperlink ref="D13" r:id="rId42"/>
    <hyperlink ref="D14" r:id="rId43"/>
    <hyperlink ref="D15" r:id="rId44"/>
    <hyperlink ref="D16" r:id="rId45"/>
    <hyperlink ref="D17" r:id="rId46"/>
    <hyperlink ref="D18" r:id="rId47"/>
    <hyperlink ref="D19" r:id="rId48"/>
    <hyperlink ref="D20" r:id="rId49"/>
    <hyperlink ref="D21" r:id="rId50"/>
    <hyperlink ref="D22" r:id="rId51"/>
    <hyperlink ref="D23" r:id="rId52"/>
    <hyperlink ref="D24" r:id="rId53"/>
    <hyperlink ref="D25" r:id="rId54"/>
    <hyperlink ref="D26" r:id="rId55"/>
    <hyperlink ref="D27" r:id="rId56"/>
    <hyperlink ref="D28" r:id="rId57"/>
    <hyperlink ref="D29" r:id="rId58"/>
    <hyperlink ref="D4" r:id="rId59"/>
    <hyperlink ref="D31" r:id="rId60"/>
    <hyperlink ref="D32" r:id="rId61"/>
    <hyperlink ref="D33" r:id="rId62"/>
    <hyperlink ref="D34" r:id="rId63"/>
    <hyperlink ref="D35" r:id="rId64"/>
    <hyperlink ref="D36" r:id="rId65"/>
    <hyperlink ref="D37" r:id="rId66"/>
    <hyperlink ref="D38" r:id="rId67"/>
    <hyperlink ref="D5" r:id="rId68"/>
    <hyperlink ref="D6" r:id="rId69"/>
    <hyperlink ref="D7" r:id="rId70"/>
    <hyperlink ref="D8" r:id="rId71"/>
    <hyperlink ref="D9" r:id="rId72"/>
    <hyperlink ref="D10" r:id="rId73"/>
    <hyperlink ref="D39" r:id="rId74"/>
    <hyperlink ref="E39" r:id="rId75"/>
    <hyperlink ref="E40" r:id="rId76"/>
    <hyperlink ref="E41" r:id="rId77"/>
    <hyperlink ref="D40" r:id="rId78"/>
    <hyperlink ref="D41" r:id="rId79"/>
    <hyperlink ref="E42" r:id="rId80"/>
    <hyperlink ref="E43" r:id="rId81"/>
    <hyperlink ref="D43" r:id="rId82"/>
    <hyperlink ref="D42" r:id="rId83"/>
    <hyperlink ref="E44" r:id="rId84"/>
    <hyperlink ref="D44" r:id="rId85"/>
    <hyperlink ref="E45" r:id="rId86"/>
    <hyperlink ref="D45" r:id="rId87"/>
    <hyperlink ref="E46" r:id="rId88"/>
    <hyperlink ref="D46" r:id="rId89"/>
    <hyperlink ref="D47" r:id="rId90"/>
    <hyperlink ref="E47" r:id="rId91"/>
  </hyperlinks>
  <pageMargins left="0.7" right="0.7" top="0.75" bottom="0.75" header="0.3" footer="0.3"/>
  <pageSetup paperSize="9" orientation="portrait" r:id="rId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Медиафасады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2026-07-01T17:48:59Z</dcterms:modified>
</cp:coreProperties>
</file>